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yan\OneDrive\Documents\Consulting\Projects\The Human Flavorome Project\Uniko Current Version\"/>
    </mc:Choice>
  </mc:AlternateContent>
  <xr:revisionPtr revIDLastSave="0" documentId="8_{1B813EE8-24AB-4B9C-9BCF-5A1C352749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shboard" sheetId="2" r:id="rId1"/>
    <sheet name="Inputs" sheetId="14" r:id="rId2"/>
    <sheet name="References" sheetId="15" r:id="rId3"/>
    <sheet name="Raw Data" sheetId="1" state="hidden" r:id="rId4"/>
    <sheet name="Calculations" sheetId="4" state="hidden" r:id="rId5"/>
    <sheet name="Data Validation" sheetId="3" state="hidden" r:id="rId6"/>
    <sheet name="Units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4" l="1"/>
  <c r="X19" i="4"/>
  <c r="W19" i="4"/>
  <c r="V19" i="4"/>
  <c r="U19" i="4"/>
  <c r="U16" i="4" s="1"/>
  <c r="AA37" i="4"/>
  <c r="Z37" i="4"/>
  <c r="J116" i="4"/>
  <c r="J115" i="4"/>
  <c r="G116" i="4"/>
  <c r="G115" i="4"/>
  <c r="G114" i="4"/>
  <c r="Z34" i="4"/>
  <c r="V16" i="4"/>
  <c r="X13" i="4"/>
  <c r="AA31" i="4"/>
  <c r="Z31" i="4"/>
  <c r="AB22" i="4"/>
  <c r="AA28" i="4" s="1"/>
  <c r="Z22" i="4"/>
  <c r="AA22" i="4"/>
  <c r="M39" i="4"/>
  <c r="AY16" i="4"/>
  <c r="AW2" i="4"/>
  <c r="AZ3" i="4"/>
  <c r="BA3" i="4" s="1"/>
  <c r="AZ4" i="4"/>
  <c r="BA4" i="4" s="1"/>
  <c r="AZ5" i="4"/>
  <c r="BA5" i="4" s="1"/>
  <c r="AZ6" i="4"/>
  <c r="BA6" i="4" s="1"/>
  <c r="AZ7" i="4"/>
  <c r="BA7" i="4" s="1"/>
  <c r="AZ8" i="4"/>
  <c r="BA8" i="4" s="1"/>
  <c r="AZ9" i="4"/>
  <c r="BA9" i="4" s="1"/>
  <c r="AZ10" i="4"/>
  <c r="BA10" i="4" s="1"/>
  <c r="AZ11" i="4"/>
  <c r="BA11" i="4" s="1"/>
  <c r="AZ2" i="4"/>
  <c r="BA2" i="4" s="1"/>
  <c r="B89" i="4"/>
  <c r="B90" i="4"/>
  <c r="B91" i="4"/>
  <c r="B92" i="4"/>
  <c r="B93" i="4"/>
  <c r="B88" i="4"/>
  <c r="C93" i="4"/>
  <c r="C89" i="4"/>
  <c r="C90" i="4"/>
  <c r="C91" i="4"/>
  <c r="C92" i="4"/>
  <c r="C88" i="4"/>
  <c r="G53" i="4"/>
  <c r="G54" i="4"/>
  <c r="G55" i="4"/>
  <c r="G56" i="4"/>
  <c r="G57" i="4"/>
  <c r="G59" i="4"/>
  <c r="G60" i="4"/>
  <c r="G58" i="4"/>
  <c r="F57" i="4"/>
  <c r="F58" i="4"/>
  <c r="F43" i="4"/>
  <c r="F53" i="4" s="1"/>
  <c r="F44" i="4"/>
  <c r="F54" i="4" s="1"/>
  <c r="F45" i="4"/>
  <c r="F55" i="4" s="1"/>
  <c r="F46" i="4"/>
  <c r="F56" i="4" s="1"/>
  <c r="F47" i="4"/>
  <c r="F50" i="4"/>
  <c r="F60" i="4" s="1"/>
  <c r="F49" i="4"/>
  <c r="F59" i="4" s="1"/>
  <c r="B54" i="4"/>
  <c r="B55" i="4"/>
  <c r="B56" i="4"/>
  <c r="B57" i="4"/>
  <c r="B58" i="4"/>
  <c r="B59" i="4"/>
  <c r="B60" i="4"/>
  <c r="B53" i="4"/>
  <c r="C54" i="4"/>
  <c r="C55" i="4"/>
  <c r="C56" i="4"/>
  <c r="C57" i="4"/>
  <c r="C58" i="4"/>
  <c r="C59" i="4"/>
  <c r="C60" i="4"/>
  <c r="C53" i="4"/>
  <c r="L44" i="4"/>
  <c r="L43" i="4"/>
  <c r="L42" i="4"/>
  <c r="L41" i="4"/>
  <c r="L40" i="4"/>
  <c r="L39" i="4"/>
  <c r="L38" i="4"/>
  <c r="M35" i="4"/>
  <c r="M38" i="4" s="1"/>
  <c r="M34" i="4"/>
  <c r="L25" i="4"/>
  <c r="L26" i="4"/>
  <c r="L27" i="4"/>
  <c r="L28" i="4"/>
  <c r="L29" i="4"/>
  <c r="L30" i="4"/>
  <c r="L31" i="4"/>
  <c r="L24" i="4"/>
  <c r="H4" i="5"/>
  <c r="I4" i="5" s="1" a="1"/>
  <c r="I4" i="5" s="1"/>
  <c r="F11" i="4"/>
  <c r="F10" i="4"/>
  <c r="F9" i="4"/>
  <c r="F8" i="4"/>
  <c r="F7" i="4"/>
  <c r="F6" i="4"/>
  <c r="F5" i="4"/>
  <c r="F4" i="4"/>
  <c r="F3" i="4"/>
  <c r="F2" i="4"/>
  <c r="E11" i="4"/>
  <c r="E10" i="4"/>
  <c r="E9" i="4"/>
  <c r="E8" i="4"/>
  <c r="E7" i="4"/>
  <c r="E6" i="4"/>
  <c r="E5" i="4"/>
  <c r="E4" i="4"/>
  <c r="E3" i="4"/>
  <c r="E2" i="4"/>
  <c r="D11" i="4"/>
  <c r="D10" i="4"/>
  <c r="D9" i="4"/>
  <c r="D8" i="4"/>
  <c r="D7" i="4"/>
  <c r="D6" i="4"/>
  <c r="D5" i="4"/>
  <c r="D4" i="4"/>
  <c r="D3" i="4"/>
  <c r="D2" i="4"/>
  <c r="C11" i="4"/>
  <c r="C10" i="4"/>
  <c r="C9" i="4"/>
  <c r="C8" i="4"/>
  <c r="C7" i="4"/>
  <c r="C6" i="4"/>
  <c r="C5" i="4"/>
  <c r="C4" i="4"/>
  <c r="C3" i="4"/>
  <c r="C2" i="4"/>
  <c r="B11" i="4"/>
  <c r="R11" i="4" s="1"/>
  <c r="B10" i="4"/>
  <c r="R10" i="4" s="1"/>
  <c r="B9" i="4"/>
  <c r="R9" i="4" s="1"/>
  <c r="B8" i="4"/>
  <c r="N8" i="4" s="1"/>
  <c r="B7" i="4"/>
  <c r="BB7" i="4" s="1"/>
  <c r="B6" i="4"/>
  <c r="AT6" i="4" s="1"/>
  <c r="B5" i="4"/>
  <c r="BF5" i="4" s="1"/>
  <c r="B4" i="4"/>
  <c r="AB4" i="4" s="1"/>
  <c r="B3" i="4"/>
  <c r="N3" i="4" s="1"/>
  <c r="B2" i="4"/>
  <c r="N2" i="4" s="1"/>
  <c r="X13" i="5"/>
  <c r="Y13" i="5" s="1" a="1"/>
  <c r="Y13" i="5" s="1"/>
  <c r="V13" i="5"/>
  <c r="W13" i="5" s="1" a="1"/>
  <c r="W13" i="5" s="1"/>
  <c r="T13" i="5"/>
  <c r="U13" i="5" s="1" a="1"/>
  <c r="U13" i="5" s="1"/>
  <c r="R13" i="5"/>
  <c r="S13" i="5" s="1" a="1"/>
  <c r="S13" i="5" s="1"/>
  <c r="P13" i="5"/>
  <c r="Q13" i="5" s="1" a="1"/>
  <c r="Q13" i="5" s="1"/>
  <c r="N13" i="5"/>
  <c r="O13" i="5" s="1" a="1"/>
  <c r="O13" i="5" s="1"/>
  <c r="L13" i="5"/>
  <c r="M13" i="5" s="1" a="1"/>
  <c r="M13" i="5" s="1"/>
  <c r="J13" i="5"/>
  <c r="K13" i="5" s="1" a="1"/>
  <c r="K13" i="5" s="1"/>
  <c r="H13" i="5"/>
  <c r="I13" i="5" s="1" a="1"/>
  <c r="I13" i="5" s="1"/>
  <c r="F13" i="5"/>
  <c r="G13" i="5" s="1" a="1"/>
  <c r="G13" i="5" s="1"/>
  <c r="X4" i="5"/>
  <c r="Y4" i="5" s="1" a="1"/>
  <c r="Y4" i="5" s="1"/>
  <c r="V4" i="5"/>
  <c r="W4" i="5" s="1" a="1"/>
  <c r="W4" i="5" s="1"/>
  <c r="T4" i="5"/>
  <c r="U4" i="5" s="1" a="1"/>
  <c r="U4" i="5" s="1"/>
  <c r="R4" i="5"/>
  <c r="R7" i="5" s="1"/>
  <c r="G8" i="4" s="1"/>
  <c r="P4" i="5"/>
  <c r="Q4" i="5" s="1" a="1"/>
  <c r="Q4" i="5" s="1"/>
  <c r="N4" i="5"/>
  <c r="O4" i="5" s="1" a="1"/>
  <c r="O4" i="5" s="1"/>
  <c r="L4" i="5"/>
  <c r="M4" i="5" s="1" a="1"/>
  <c r="M4" i="5" s="1"/>
  <c r="J4" i="5"/>
  <c r="K4" i="5" s="1" a="1"/>
  <c r="K4" i="5" s="1"/>
  <c r="F4" i="5"/>
  <c r="G4" i="5" s="1" a="1"/>
  <c r="G4" i="5" s="1"/>
  <c r="C4" i="3"/>
  <c r="D4" i="3" s="1" a="1"/>
  <c r="D4" i="3" s="1"/>
  <c r="S4" i="3"/>
  <c r="T4" i="3" s="1" a="1"/>
  <c r="T4" i="3" s="1"/>
  <c r="Q4" i="3"/>
  <c r="R4" i="3" s="1" a="1"/>
  <c r="R4" i="3" s="1"/>
  <c r="O4" i="3"/>
  <c r="P4" i="3" s="1" a="1"/>
  <c r="P4" i="3" s="1"/>
  <c r="M4" i="3"/>
  <c r="N4" i="3" s="1" a="1"/>
  <c r="N4" i="3" s="1"/>
  <c r="K4" i="3"/>
  <c r="L4" i="3" s="1" a="1"/>
  <c r="L4" i="3" s="1"/>
  <c r="I4" i="3"/>
  <c r="J4" i="3" s="1" a="1"/>
  <c r="J4" i="3" s="1"/>
  <c r="G4" i="3"/>
  <c r="H4" i="3" s="1" a="1"/>
  <c r="H4" i="3" s="1"/>
  <c r="E4" i="3"/>
  <c r="F4" i="3" s="1" a="1"/>
  <c r="F4" i="3" s="1"/>
  <c r="A4" i="3"/>
  <c r="B4" i="3" s="1" a="1"/>
  <c r="B4" i="3" s="1"/>
  <c r="Z28" i="4" l="1"/>
  <c r="BA13" i="4"/>
  <c r="BA16" i="4" s="1"/>
  <c r="BA19" i="4" s="1"/>
  <c r="BA22" i="4" s="1"/>
  <c r="BA25" i="4" s="1"/>
  <c r="AW28" i="4" s="1"/>
  <c r="AB11" i="4"/>
  <c r="AB9" i="4"/>
  <c r="AB3" i="4"/>
  <c r="AB8" i="4"/>
  <c r="AB7" i="4"/>
  <c r="AB6" i="4"/>
  <c r="AB5" i="4"/>
  <c r="AB10" i="4"/>
  <c r="AB2" i="4"/>
  <c r="Z10" i="4"/>
  <c r="AH2" i="4"/>
  <c r="AR9" i="4"/>
  <c r="AT9" i="4"/>
  <c r="AL9" i="4"/>
  <c r="AV9" i="4"/>
  <c r="BD10" i="4"/>
  <c r="AH7" i="4"/>
  <c r="AD9" i="4"/>
  <c r="AM9" i="4"/>
  <c r="AD8" i="4"/>
  <c r="AN9" i="4"/>
  <c r="BD9" i="4"/>
  <c r="AE10" i="4"/>
  <c r="AO10" i="4"/>
  <c r="BE9" i="4"/>
  <c r="AF9" i="4"/>
  <c r="AQ10" i="4"/>
  <c r="BG9" i="4"/>
  <c r="AG7" i="4"/>
  <c r="AQ9" i="4"/>
  <c r="BG8" i="4"/>
  <c r="AL8" i="4"/>
  <c r="AT8" i="4"/>
  <c r="AF2" i="4"/>
  <c r="AI10" i="4"/>
  <c r="BD8" i="4"/>
  <c r="T9" i="4"/>
  <c r="AF10" i="4"/>
  <c r="AI9" i="4"/>
  <c r="AM8" i="4"/>
  <c r="AQ8" i="4"/>
  <c r="AV8" i="4"/>
  <c r="BE10" i="4"/>
  <c r="AJ10" i="4"/>
  <c r="AN2" i="4"/>
  <c r="AX2" i="4"/>
  <c r="AG10" i="4"/>
  <c r="AJ9" i="4"/>
  <c r="AN10" i="4"/>
  <c r="AS2" i="4"/>
  <c r="BB2" i="4"/>
  <c r="BF2" i="4"/>
  <c r="AK2" i="4"/>
  <c r="AS10" i="4"/>
  <c r="BB10" i="4"/>
  <c r="BG2" i="4"/>
  <c r="AG6" i="4"/>
  <c r="AL2" i="4"/>
  <c r="AO2" i="4"/>
  <c r="AT2" i="4"/>
  <c r="BC2" i="4"/>
  <c r="BB11" i="4"/>
  <c r="BD11" i="4"/>
  <c r="AI11" i="4"/>
  <c r="AE3" i="4"/>
  <c r="Z3" i="4"/>
  <c r="AD11" i="4"/>
  <c r="AQ11" i="4"/>
  <c r="AJ11" i="4"/>
  <c r="Z11" i="4"/>
  <c r="AR3" i="4"/>
  <c r="AF11" i="4"/>
  <c r="BE5" i="4"/>
  <c r="BG11" i="4"/>
  <c r="AG3" i="4"/>
  <c r="AS11" i="4"/>
  <c r="BB3" i="4"/>
  <c r="AE11" i="4"/>
  <c r="AL3" i="4"/>
  <c r="AT7" i="4"/>
  <c r="AX11" i="4"/>
  <c r="BC3" i="4"/>
  <c r="BF3" i="4"/>
  <c r="AH3" i="4"/>
  <c r="AL11" i="4"/>
  <c r="AM3" i="4"/>
  <c r="AO11" i="4"/>
  <c r="AT11" i="4"/>
  <c r="AV3" i="4"/>
  <c r="AD3" i="4"/>
  <c r="AN11" i="4"/>
  <c r="AO5" i="4"/>
  <c r="AF3" i="4"/>
  <c r="AH11" i="4"/>
  <c r="AI8" i="4"/>
  <c r="AK11" i="4"/>
  <c r="AM11" i="4"/>
  <c r="AP11" i="4"/>
  <c r="AR2" i="4"/>
  <c r="AS7" i="4"/>
  <c r="AT3" i="4"/>
  <c r="AX10" i="4"/>
  <c r="BC11" i="4"/>
  <c r="BD3" i="4"/>
  <c r="BF11" i="4"/>
  <c r="BG3" i="4"/>
  <c r="T10" i="4"/>
  <c r="AE9" i="4"/>
  <c r="AG2" i="4"/>
  <c r="AH9" i="4"/>
  <c r="AI3" i="4"/>
  <c r="AK10" i="4"/>
  <c r="AM10" i="4"/>
  <c r="AN5" i="4"/>
  <c r="AP8" i="4"/>
  <c r="AR11" i="4"/>
  <c r="AS6" i="4"/>
  <c r="AV11" i="4"/>
  <c r="AX9" i="4"/>
  <c r="BC9" i="4"/>
  <c r="BE2" i="4"/>
  <c r="BF10" i="4"/>
  <c r="AJ3" i="4"/>
  <c r="BE3" i="4"/>
  <c r="T3" i="4"/>
  <c r="AO3" i="4"/>
  <c r="AQ3" i="4"/>
  <c r="T11" i="4"/>
  <c r="AD2" i="4"/>
  <c r="AE8" i="4"/>
  <c r="AG11" i="4"/>
  <c r="AH8" i="4"/>
  <c r="AJ2" i="4"/>
  <c r="AK3" i="4"/>
  <c r="AN3" i="4"/>
  <c r="AP3" i="4"/>
  <c r="AR10" i="4"/>
  <c r="AS3" i="4"/>
  <c r="AV10" i="4"/>
  <c r="AX3" i="4"/>
  <c r="BC8" i="4"/>
  <c r="BE11" i="4"/>
  <c r="Q4" i="4"/>
  <c r="BD4" i="4"/>
  <c r="AV4" i="4"/>
  <c r="AQ4" i="4"/>
  <c r="AM4" i="4"/>
  <c r="AI4" i="4"/>
  <c r="AE4" i="4"/>
  <c r="BG4" i="4"/>
  <c r="BC4" i="4"/>
  <c r="AT4" i="4"/>
  <c r="AL4" i="4"/>
  <c r="AH4" i="4"/>
  <c r="AD4" i="4"/>
  <c r="AP4" i="4"/>
  <c r="BF4" i="4"/>
  <c r="T4" i="4"/>
  <c r="Q5" i="4"/>
  <c r="BD5" i="4"/>
  <c r="AV5" i="4"/>
  <c r="AQ5" i="4"/>
  <c r="AM5" i="4"/>
  <c r="AI5" i="4"/>
  <c r="AE5" i="4"/>
  <c r="BC5" i="4"/>
  <c r="AL5" i="4"/>
  <c r="AD5" i="4"/>
  <c r="BG5" i="4"/>
  <c r="AT5" i="4"/>
  <c r="AH5" i="4"/>
  <c r="AF5" i="4"/>
  <c r="AG5" i="4"/>
  <c r="AH6" i="4"/>
  <c r="AR5" i="4"/>
  <c r="AS5" i="4"/>
  <c r="AF4" i="4"/>
  <c r="AG4" i="4"/>
  <c r="AK7" i="4"/>
  <c r="AR4" i="4"/>
  <c r="AS4" i="4"/>
  <c r="AN4" i="4"/>
  <c r="AO4" i="4"/>
  <c r="BE4" i="4"/>
  <c r="P6" i="4"/>
  <c r="BE6" i="4"/>
  <c r="AX6" i="4"/>
  <c r="AR6" i="4"/>
  <c r="AN6" i="4"/>
  <c r="AJ6" i="4"/>
  <c r="AF6" i="4"/>
  <c r="BD6" i="4"/>
  <c r="AV6" i="4"/>
  <c r="AQ6" i="4"/>
  <c r="AE6" i="4"/>
  <c r="T6" i="4"/>
  <c r="BG6" i="4"/>
  <c r="AM6" i="4"/>
  <c r="AI6" i="4"/>
  <c r="M42" i="4"/>
  <c r="M43" i="4"/>
  <c r="M44" i="4"/>
  <c r="P7" i="4"/>
  <c r="BE7" i="4"/>
  <c r="AX7" i="4"/>
  <c r="AR7" i="4"/>
  <c r="AN7" i="4"/>
  <c r="AJ7" i="4"/>
  <c r="AF7" i="4"/>
  <c r="T7" i="4"/>
  <c r="BD7" i="4"/>
  <c r="AQ7" i="4"/>
  <c r="AM7" i="4"/>
  <c r="AE7" i="4"/>
  <c r="AV7" i="4"/>
  <c r="AI7" i="4"/>
  <c r="M41" i="4"/>
  <c r="AK6" i="4"/>
  <c r="AL7" i="4"/>
  <c r="M40" i="4"/>
  <c r="AP7" i="4"/>
  <c r="AX5" i="4"/>
  <c r="BB5" i="4"/>
  <c r="BC6" i="4"/>
  <c r="AD7" i="4"/>
  <c r="AJ4" i="4"/>
  <c r="AK4" i="4"/>
  <c r="AO7" i="4"/>
  <c r="AP6" i="4"/>
  <c r="AX4" i="4"/>
  <c r="BB4" i="4"/>
  <c r="BF7" i="4"/>
  <c r="BG7" i="4"/>
  <c r="BB6" i="4"/>
  <c r="BC7" i="4"/>
  <c r="AJ5" i="4"/>
  <c r="AK5" i="4"/>
  <c r="AL6" i="4"/>
  <c r="AD6" i="4"/>
  <c r="AO6" i="4"/>
  <c r="AP5" i="4"/>
  <c r="BF6" i="4"/>
  <c r="AN8" i="4"/>
  <c r="AK9" i="4"/>
  <c r="AF8" i="4"/>
  <c r="AJ8" i="4"/>
  <c r="AR8" i="4"/>
  <c r="AX8" i="4"/>
  <c r="BE8" i="4"/>
  <c r="Z9" i="4"/>
  <c r="AG9" i="4"/>
  <c r="AO9" i="4"/>
  <c r="AP10" i="4"/>
  <c r="AP2" i="4"/>
  <c r="AS9" i="4"/>
  <c r="BB9" i="4"/>
  <c r="BF9" i="4"/>
  <c r="T8" i="4"/>
  <c r="Z8" i="4"/>
  <c r="AD10" i="4"/>
  <c r="AE2" i="4"/>
  <c r="AG8" i="4"/>
  <c r="AH10" i="4"/>
  <c r="AI2" i="4"/>
  <c r="AK8" i="4"/>
  <c r="AL10" i="4"/>
  <c r="AM2" i="4"/>
  <c r="AO8" i="4"/>
  <c r="AP9" i="4"/>
  <c r="AQ2" i="4"/>
  <c r="AS8" i="4"/>
  <c r="AT10" i="4"/>
  <c r="AV2" i="4"/>
  <c r="BB8" i="4"/>
  <c r="BC10" i="4"/>
  <c r="BD2" i="4"/>
  <c r="BF8" i="4"/>
  <c r="BG10" i="4"/>
  <c r="P2" i="4"/>
  <c r="Z7" i="4"/>
  <c r="Z2" i="4"/>
  <c r="Z6" i="4"/>
  <c r="T2" i="4"/>
  <c r="Z4" i="4"/>
  <c r="Z5" i="4"/>
  <c r="T5" i="4"/>
  <c r="K10" i="4"/>
  <c r="K11" i="4"/>
  <c r="K9" i="4"/>
  <c r="K6" i="4"/>
  <c r="K4" i="4"/>
  <c r="K5" i="4"/>
  <c r="K7" i="4"/>
  <c r="K8" i="4"/>
  <c r="K2" i="4"/>
  <c r="K3" i="4"/>
  <c r="J16" i="5"/>
  <c r="I4" i="4" s="1"/>
  <c r="J4" i="4" s="1"/>
  <c r="X16" i="5"/>
  <c r="I11" i="4" s="1"/>
  <c r="J11" i="4" s="1"/>
  <c r="S4" i="5" a="1"/>
  <c r="S4" i="5" s="1"/>
  <c r="F16" i="5"/>
  <c r="I2" i="4" s="1"/>
  <c r="J2" i="4" s="1"/>
  <c r="N16" i="5"/>
  <c r="I6" i="4" s="1"/>
  <c r="J6" i="4" s="1"/>
  <c r="N7" i="5"/>
  <c r="G6" i="4" s="1"/>
  <c r="H6" i="4" s="1"/>
  <c r="P16" i="5"/>
  <c r="I7" i="4" s="1"/>
  <c r="J7" i="4" s="1"/>
  <c r="P7" i="5"/>
  <c r="G7" i="4" s="1"/>
  <c r="H7" i="4" s="1"/>
  <c r="R16" i="5"/>
  <c r="I8" i="4" s="1"/>
  <c r="J8" i="4" s="1"/>
  <c r="T16" i="5"/>
  <c r="I9" i="4" s="1"/>
  <c r="J9" i="4" s="1"/>
  <c r="T7" i="5"/>
  <c r="G9" i="4" s="1"/>
  <c r="H9" i="4" s="1"/>
  <c r="V16" i="5"/>
  <c r="I10" i="4" s="1"/>
  <c r="J10" i="4" s="1"/>
  <c r="V7" i="5"/>
  <c r="G10" i="4" s="1"/>
  <c r="H10" i="4" s="1"/>
  <c r="L16" i="5"/>
  <c r="I5" i="4" s="1"/>
  <c r="J5" i="4" s="1"/>
  <c r="L7" i="5"/>
  <c r="G5" i="4" s="1"/>
  <c r="H5" i="4" s="1"/>
  <c r="H8" i="4"/>
  <c r="P9" i="4"/>
  <c r="P11" i="4"/>
  <c r="P8" i="4"/>
  <c r="Q6" i="4"/>
  <c r="S6" i="4"/>
  <c r="S7" i="4"/>
  <c r="S8" i="4"/>
  <c r="Q9" i="4"/>
  <c r="S11" i="4"/>
  <c r="S9" i="4"/>
  <c r="Q7" i="4"/>
  <c r="S10" i="4"/>
  <c r="N9" i="4"/>
  <c r="R7" i="4"/>
  <c r="N10" i="4"/>
  <c r="S5" i="4"/>
  <c r="J7" i="5"/>
  <c r="S2" i="4"/>
  <c r="S3" i="4"/>
  <c r="S4" i="4"/>
  <c r="N4" i="4"/>
  <c r="R4" i="4"/>
  <c r="H16" i="5"/>
  <c r="P3" i="4"/>
  <c r="R5" i="4"/>
  <c r="N11" i="4"/>
  <c r="P10" i="4"/>
  <c r="Q8" i="4"/>
  <c r="R6" i="4"/>
  <c r="N5" i="4"/>
  <c r="P4" i="4"/>
  <c r="Q2" i="4"/>
  <c r="Q10" i="4"/>
  <c r="R8" i="4"/>
  <c r="N6" i="4"/>
  <c r="P5" i="4"/>
  <c r="Q3" i="4"/>
  <c r="Q11" i="4"/>
  <c r="N7" i="4"/>
  <c r="R2" i="4"/>
  <c r="R3" i="4"/>
  <c r="H7" i="5"/>
  <c r="G3" i="4" s="1"/>
  <c r="F7" i="5"/>
  <c r="G2" i="4" s="1"/>
  <c r="X7" i="5"/>
  <c r="I3" i="4" l="1"/>
  <c r="J3" i="4" s="1"/>
  <c r="L3" i="4" s="1"/>
  <c r="G4" i="4"/>
  <c r="H4" i="4" s="1"/>
  <c r="G11" i="4"/>
  <c r="H11" i="4" s="1"/>
  <c r="L9" i="4"/>
  <c r="M9" i="4" s="1"/>
  <c r="L2" i="4"/>
  <c r="L4" i="4"/>
  <c r="L6" i="4"/>
  <c r="M6" i="4" s="1"/>
  <c r="L10" i="4"/>
  <c r="M10" i="4" s="1"/>
  <c r="H2" i="4"/>
  <c r="H3" i="4"/>
  <c r="L11" i="4"/>
  <c r="L8" i="4"/>
  <c r="M8" i="4" s="1"/>
  <c r="L7" i="4"/>
  <c r="M7" i="4" s="1"/>
  <c r="L5" i="4"/>
  <c r="M5" i="4" s="1"/>
  <c r="AC6" i="4" l="1"/>
  <c r="AY6" i="4"/>
  <c r="AA6" i="4"/>
  <c r="AW6" i="4"/>
  <c r="AU6" i="4"/>
  <c r="AU8" i="4"/>
  <c r="AC8" i="4"/>
  <c r="AY8" i="4"/>
  <c r="AA8" i="4"/>
  <c r="AW8" i="4"/>
  <c r="AW10" i="4"/>
  <c r="AU10" i="4"/>
  <c r="AC10" i="4"/>
  <c r="AY10" i="4"/>
  <c r="AA10" i="4"/>
  <c r="AY5" i="4"/>
  <c r="AA5" i="4"/>
  <c r="AW5" i="4"/>
  <c r="AU5" i="4"/>
  <c r="AC5" i="4"/>
  <c r="AC7" i="4"/>
  <c r="AY7" i="4"/>
  <c r="AA7" i="4"/>
  <c r="AW7" i="4"/>
  <c r="AU7" i="4"/>
  <c r="AU9" i="4"/>
  <c r="AC9" i="4"/>
  <c r="AY9" i="4"/>
  <c r="AA9" i="4"/>
  <c r="AW9" i="4"/>
  <c r="M4" i="4"/>
  <c r="M2" i="4"/>
  <c r="M11" i="4"/>
  <c r="Y9" i="4"/>
  <c r="V9" i="4"/>
  <c r="U9" i="4"/>
  <c r="X9" i="4"/>
  <c r="W9" i="4"/>
  <c r="O9" i="4"/>
  <c r="W7" i="4"/>
  <c r="X7" i="4"/>
  <c r="Y7" i="4"/>
  <c r="O7" i="4"/>
  <c r="V7" i="4"/>
  <c r="U7" i="4"/>
  <c r="O10" i="4"/>
  <c r="W10" i="4"/>
  <c r="V10" i="4"/>
  <c r="Y10" i="4"/>
  <c r="X10" i="4"/>
  <c r="U10" i="4"/>
  <c r="U5" i="4"/>
  <c r="O5" i="4"/>
  <c r="Y5" i="4"/>
  <c r="W5" i="4"/>
  <c r="X5" i="4"/>
  <c r="V5" i="4"/>
  <c r="U8" i="4"/>
  <c r="V8" i="4"/>
  <c r="X8" i="4"/>
  <c r="Y8" i="4"/>
  <c r="W8" i="4"/>
  <c r="O8" i="4"/>
  <c r="Y6" i="4"/>
  <c r="W6" i="4"/>
  <c r="U6" i="4"/>
  <c r="V6" i="4"/>
  <c r="O6" i="4"/>
  <c r="X6" i="4"/>
  <c r="M3" i="4"/>
  <c r="AY2" i="4" l="1"/>
  <c r="AA2" i="4"/>
  <c r="AU2" i="4"/>
  <c r="AC2" i="4"/>
  <c r="AY4" i="4"/>
  <c r="AA4" i="4"/>
  <c r="AW4" i="4"/>
  <c r="AU4" i="4"/>
  <c r="AC4" i="4"/>
  <c r="AW3" i="4"/>
  <c r="AU3" i="4"/>
  <c r="AC3" i="4"/>
  <c r="AY3" i="4"/>
  <c r="AA3" i="4"/>
  <c r="AW11" i="4"/>
  <c r="AU11" i="4"/>
  <c r="AC11" i="4"/>
  <c r="AY11" i="4"/>
  <c r="AA11" i="4"/>
  <c r="U11" i="4"/>
  <c r="Y3" i="4"/>
  <c r="U2" i="4"/>
  <c r="U4" i="4"/>
  <c r="O2" i="4"/>
  <c r="Y2" i="4"/>
  <c r="W4" i="4"/>
  <c r="V4" i="4"/>
  <c r="O4" i="4"/>
  <c r="Y4" i="4"/>
  <c r="X4" i="4"/>
  <c r="W11" i="4"/>
  <c r="V11" i="4"/>
  <c r="Y11" i="4"/>
  <c r="X11" i="4"/>
  <c r="O11" i="4"/>
  <c r="W2" i="4"/>
  <c r="V2" i="4"/>
  <c r="X2" i="4"/>
  <c r="M13" i="4"/>
  <c r="W3" i="4"/>
  <c r="O3" i="4"/>
  <c r="U3" i="4"/>
  <c r="X3" i="4"/>
  <c r="V3" i="4"/>
  <c r="AC13" i="4" l="1"/>
  <c r="AA13" i="4"/>
  <c r="AW13" i="4"/>
  <c r="AU13" i="4"/>
  <c r="AY13" i="4"/>
  <c r="O13" i="4"/>
  <c r="Y13" i="4"/>
  <c r="U13" i="4"/>
  <c r="V13" i="4"/>
  <c r="W13" i="4"/>
  <c r="AU16" i="4" l="1"/>
  <c r="AW16" i="4"/>
  <c r="AW19" i="4" s="1"/>
  <c r="AC16" i="4"/>
  <c r="AA16" i="4"/>
  <c r="AY19" i="4" l="1"/>
  <c r="AY22" i="4" s="1"/>
  <c r="AY25" i="4" s="1"/>
  <c r="AW22" i="4"/>
  <c r="AW25" i="4" s="1"/>
  <c r="L8" i="2" l="1"/>
  <c r="AC22" i="4"/>
  <c r="Z25" i="4" s="1"/>
  <c r="AA25" i="4" s="1"/>
  <c r="L12" i="2" l="1"/>
  <c r="W16" i="4" l="1"/>
  <c r="Y16" i="4"/>
  <c r="X16" i="4"/>
  <c r="U22" i="4" l="1"/>
  <c r="V22" i="4" s="1"/>
  <c r="W22" i="4" s="1"/>
  <c r="X22" i="4" s="1"/>
  <c r="L4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<sst xmlns="http://schemas.openxmlformats.org/spreadsheetml/2006/main" count="1274" uniqueCount="751">
  <si>
    <t>Ingredient</t>
  </si>
  <si>
    <t>Glutamate (mg/100g)</t>
  </si>
  <si>
    <t>Aspartate (mg/100g)</t>
  </si>
  <si>
    <t>Adenylate (mg/100g)</t>
  </si>
  <si>
    <t>Inosinate (mg/100g)</t>
  </si>
  <si>
    <t>Guanylate (mg/100g)</t>
  </si>
  <si>
    <t>Abalone</t>
  </si>
  <si>
    <t>Ajitide I+G</t>
  </si>
  <si>
    <t>Amazake</t>
  </si>
  <si>
    <t>Apple</t>
  </si>
  <si>
    <t>Artichoke</t>
  </si>
  <si>
    <t>Asparagus, White</t>
  </si>
  <si>
    <t>Avocado</t>
  </si>
  <si>
    <t>Bamboo Shoots</t>
  </si>
  <si>
    <t>Barley</t>
  </si>
  <si>
    <t>Basil</t>
  </si>
  <si>
    <t>Beans, Black (Fermented)</t>
  </si>
  <si>
    <t>Beans, Fava</t>
  </si>
  <si>
    <t>Beans, Soy</t>
  </si>
  <si>
    <t>Beef</t>
  </si>
  <si>
    <t>Beef Extract</t>
  </si>
  <si>
    <t>Beets</t>
  </si>
  <si>
    <t>Bitter Melon</t>
  </si>
  <si>
    <t>Boar</t>
  </si>
  <si>
    <t>Bonito Flakes</t>
  </si>
  <si>
    <t>Bouillon</t>
  </si>
  <si>
    <t>Broccoli</t>
  </si>
  <si>
    <t>Brussel Sprouts</t>
  </si>
  <si>
    <t>Burdock Root</t>
  </si>
  <si>
    <t>Cabbage</t>
  </si>
  <si>
    <t>Cabbage (Chinese)</t>
  </si>
  <si>
    <t>Carrot</t>
  </si>
  <si>
    <t>Cauliflower</t>
  </si>
  <si>
    <t>Caviar</t>
  </si>
  <si>
    <t>Caviar, Red</t>
  </si>
  <si>
    <t>Celery</t>
  </si>
  <si>
    <t>Cheese, Brie</t>
  </si>
  <si>
    <t>Cheese, Cabrales</t>
  </si>
  <si>
    <t>Cheese, Emmental</t>
  </si>
  <si>
    <t>Cheese, Epoisses</t>
  </si>
  <si>
    <t>Cheese, Feta</t>
  </si>
  <si>
    <t>Cheese, Fourme d'Ambert</t>
  </si>
  <si>
    <t>Cheese, Gouda</t>
  </si>
  <si>
    <t>Cheese, Kashkaval</t>
  </si>
  <si>
    <t>Cheese, Manchego</t>
  </si>
  <si>
    <t>Cheese, Mozzarella</t>
  </si>
  <si>
    <t>Cheese, Parmigiano Regianno</t>
  </si>
  <si>
    <t>Cheese, Roquefort</t>
  </si>
  <si>
    <t>Chestnut</t>
  </si>
  <si>
    <t>Chicken</t>
  </si>
  <si>
    <t>Chili Pepper</t>
  </si>
  <si>
    <t>Chrysanthemum Greens</t>
  </si>
  <si>
    <t>Clam</t>
  </si>
  <si>
    <t>Coconut Milk</t>
  </si>
  <si>
    <t>Coriander</t>
  </si>
  <si>
    <t>Crab, Alaska King</t>
  </si>
  <si>
    <t>Crab, Blue</t>
  </si>
  <si>
    <t>Crab, Snow</t>
  </si>
  <si>
    <t>Cucumber</t>
  </si>
  <si>
    <t>Cumin</t>
  </si>
  <si>
    <t>Daikon</t>
  </si>
  <si>
    <t>Deer</t>
  </si>
  <si>
    <t>Dill</t>
  </si>
  <si>
    <t>Edamame</t>
  </si>
  <si>
    <t>Eggplant</t>
  </si>
  <si>
    <t>Eggs</t>
  </si>
  <si>
    <t>Egg White</t>
  </si>
  <si>
    <t>Egg Yolk</t>
  </si>
  <si>
    <t>Fish, Anchovy (Canned)</t>
  </si>
  <si>
    <t>Fish, Anchovy (Dried)</t>
  </si>
  <si>
    <t>Fish, Anchovy (Fresh)</t>
  </si>
  <si>
    <t>Fish, Angler</t>
  </si>
  <si>
    <t>Fish, Black Scraper</t>
  </si>
  <si>
    <t>Fish, Bonito</t>
  </si>
  <si>
    <t>Fish, Seabream (Dried)</t>
  </si>
  <si>
    <t>Fish, Seabream (Fresh)</t>
  </si>
  <si>
    <t>Fish, Butter</t>
  </si>
  <si>
    <t>Fish, Cod</t>
  </si>
  <si>
    <t>Fish, Eel</t>
  </si>
  <si>
    <t>Fish, Fatty Tuna</t>
  </si>
  <si>
    <t>Fish, Flounder</t>
  </si>
  <si>
    <t>Fish, Flying (Dried)</t>
  </si>
  <si>
    <t>Fish, Flying (Dried, Grilled)</t>
  </si>
  <si>
    <t>Fish, Flying (Fresh)</t>
  </si>
  <si>
    <t>Fish, Fugu</t>
  </si>
  <si>
    <t>Fish, Horse Mackerel</t>
  </si>
  <si>
    <t>Fish, Mackerel</t>
  </si>
  <si>
    <t>Fish, Rock</t>
  </si>
  <si>
    <t>Fish, Sardine (Fresh)</t>
  </si>
  <si>
    <t>Fish, Sardine (Dried)</t>
  </si>
  <si>
    <t>Fish, Spanish Mackerel</t>
  </si>
  <si>
    <t>Fish, Tuna (Dried)</t>
  </si>
  <si>
    <t>Fish, Tuna (Fresh)</t>
  </si>
  <si>
    <t>Fish, Yellowtail</t>
  </si>
  <si>
    <t>Fish, Whitebait (Dried)</t>
  </si>
  <si>
    <t>Foie Gras</t>
  </si>
  <si>
    <t>Garlic</t>
  </si>
  <si>
    <t>Ginger</t>
  </si>
  <si>
    <t>Green Pepper</t>
  </si>
  <si>
    <t>Green Onion</t>
  </si>
  <si>
    <t>Green Tea</t>
  </si>
  <si>
    <t>Ham, Dry-Cured</t>
  </si>
  <si>
    <t>Kale</t>
  </si>
  <si>
    <t>Ketchup</t>
  </si>
  <si>
    <t>Kimchi</t>
  </si>
  <si>
    <t>Lamb</t>
  </si>
  <si>
    <t>Leek</t>
  </si>
  <si>
    <t>Lemon</t>
  </si>
  <si>
    <t>Lentils</t>
  </si>
  <si>
    <t>Lettuce</t>
  </si>
  <si>
    <t>Lettuce, Butterhead</t>
  </si>
  <si>
    <t>Lettuce, Romaine</t>
  </si>
  <si>
    <t>Lobster</t>
  </si>
  <si>
    <t>Lotus Root</t>
  </si>
  <si>
    <t>Mandarin</t>
  </si>
  <si>
    <t>Mint</t>
  </si>
  <si>
    <t>Mirin</t>
  </si>
  <si>
    <t>Miso</t>
  </si>
  <si>
    <t>Miso (Dried)</t>
  </si>
  <si>
    <t>Monosodium Glutamate</t>
  </si>
  <si>
    <t>Mugwort</t>
  </si>
  <si>
    <t>Mushroom, Button</t>
  </si>
  <si>
    <t>Mushroom, Champignon</t>
  </si>
  <si>
    <t>Mushroom, Enoki</t>
  </si>
  <si>
    <t>Mushroom, King Trumpet</t>
  </si>
  <si>
    <t>Mushroom, Oyster (Dried)</t>
  </si>
  <si>
    <t>Mushroom, Porcini (Dried)</t>
  </si>
  <si>
    <t>Mushroom, Morel (Dried)</t>
  </si>
  <si>
    <t>Mushroom, Shiitake (Dried)</t>
  </si>
  <si>
    <t>Mushroom, Shiitake (Fresh)</t>
  </si>
  <si>
    <t>Mushroom, White Beech</t>
  </si>
  <si>
    <t>Mussel</t>
  </si>
  <si>
    <t>Mustard Greens</t>
  </si>
  <si>
    <t>Natto</t>
  </si>
  <si>
    <t>Nutritional Yeast</t>
  </si>
  <si>
    <t>Octopus</t>
  </si>
  <si>
    <t>Okra</t>
  </si>
  <si>
    <t>Olives, Black</t>
  </si>
  <si>
    <t>Olives, Green</t>
  </si>
  <si>
    <t>Onion</t>
  </si>
  <si>
    <t>Onion, Welsh</t>
  </si>
  <si>
    <t>Paprika</t>
  </si>
  <si>
    <t>Parsley</t>
  </si>
  <si>
    <t>Paste, Shrimp</t>
  </si>
  <si>
    <t>Paste, Tomato</t>
  </si>
  <si>
    <t>Peach</t>
  </si>
  <si>
    <t>Perilla</t>
  </si>
  <si>
    <t>Persimmon</t>
  </si>
  <si>
    <t>Plum</t>
  </si>
  <si>
    <t>Pork</t>
  </si>
  <si>
    <t>Pork, Iberian</t>
  </si>
  <si>
    <t>Prawn</t>
  </si>
  <si>
    <t>Radish</t>
  </si>
  <si>
    <t>Rice</t>
  </si>
  <si>
    <t>Rice Bran</t>
  </si>
  <si>
    <t>Rice Germ</t>
  </si>
  <si>
    <t>Salmon Roe</t>
  </si>
  <si>
    <t>Sauce, Barbecue</t>
  </si>
  <si>
    <t>Sauce, Chili</t>
  </si>
  <si>
    <t>Sauce, Fish</t>
  </si>
  <si>
    <t>Sauce, Oyster</t>
  </si>
  <si>
    <t>Sauce, Soy</t>
  </si>
  <si>
    <t>Sauce, Squid</t>
  </si>
  <si>
    <t>Sauce, Steak</t>
  </si>
  <si>
    <t>Sauce, Worcestershire</t>
  </si>
  <si>
    <t>Scallop (Dried)</t>
  </si>
  <si>
    <t>Scallop (Fresh)</t>
  </si>
  <si>
    <t>Seaweed, Kombu</t>
  </si>
  <si>
    <t>Seaweed, Nori</t>
  </si>
  <si>
    <t>Sea Urchin</t>
  </si>
  <si>
    <t>Shallot</t>
  </si>
  <si>
    <t>Shrimp</t>
  </si>
  <si>
    <t>Spinach</t>
  </si>
  <si>
    <t>Squid (Fresh)</t>
  </si>
  <si>
    <t>Squid (Salted)</t>
  </si>
  <si>
    <t>Squid Ink</t>
  </si>
  <si>
    <t>Tamarillo</t>
  </si>
  <si>
    <t>Tomatillo</t>
  </si>
  <si>
    <t>Vinegar, Balsamic</t>
  </si>
  <si>
    <t>Vinegar, Malt</t>
  </si>
  <si>
    <t>Vinegar, Rice</t>
  </si>
  <si>
    <t>Watermelon</t>
  </si>
  <si>
    <t>Yam</t>
  </si>
  <si>
    <t>Yeast Extract</t>
  </si>
  <si>
    <t>Zucchini</t>
  </si>
  <si>
    <t>Weight</t>
  </si>
  <si>
    <t>Volume</t>
  </si>
  <si>
    <t>Units</t>
  </si>
  <si>
    <t>Density (g/mL)</t>
  </si>
  <si>
    <t>Water</t>
  </si>
  <si>
    <t>Salt</t>
  </si>
  <si>
    <t>Water Content (%)</t>
  </si>
  <si>
    <t>Position</t>
  </si>
  <si>
    <t>Input</t>
  </si>
  <si>
    <t>Data Validation</t>
  </si>
  <si>
    <t>Cheese, Cheddar (Aged Ten Years)</t>
  </si>
  <si>
    <t>Cheese, Cheddar (Aged Three Years)</t>
  </si>
  <si>
    <t>Cheese, Cheddar (Aged One Year)</t>
  </si>
  <si>
    <t>Cheese, Comte (Aged Eight Months)</t>
  </si>
  <si>
    <t>Cheese, Comte (Aged Eighteen Months)</t>
  </si>
  <si>
    <t>Cheese, Parmigiano Regianno (Aged Two Years)</t>
  </si>
  <si>
    <t>Cheese, Parmigiano Regianno (Aged Four Years)</t>
  </si>
  <si>
    <t>Mass Units</t>
  </si>
  <si>
    <t>Volume Units</t>
  </si>
  <si>
    <t>Grams (g)</t>
  </si>
  <si>
    <t>Kilograms (kg)</t>
  </si>
  <si>
    <t>Ounces (oz)</t>
  </si>
  <si>
    <t>Pounds (lb)</t>
  </si>
  <si>
    <t>Milliliters (mL)</t>
  </si>
  <si>
    <t>Liters (L)</t>
  </si>
  <si>
    <t>Tons (t)</t>
  </si>
  <si>
    <t>Metric Ton (mt)</t>
  </si>
  <si>
    <t>Cubic Meters (m3)</t>
  </si>
  <si>
    <t>Cubic Centimeters (cm3)</t>
  </si>
  <si>
    <t>Fluid Ounces (fl oz)</t>
  </si>
  <si>
    <t>Cups (c)</t>
  </si>
  <si>
    <t>Pints (pt)</t>
  </si>
  <si>
    <t>Quarts (qt)</t>
  </si>
  <si>
    <t>Gallons (gal)</t>
  </si>
  <si>
    <t>Teaspoons (tsp)</t>
  </si>
  <si>
    <t>Tablespoons (tbsp)</t>
  </si>
  <si>
    <t>Mass</t>
  </si>
  <si>
    <t>Other</t>
  </si>
  <si>
    <t>Unit</t>
  </si>
  <si>
    <t>Weight (g)</t>
  </si>
  <si>
    <t>Volume (mL)</t>
  </si>
  <si>
    <t>Total Water (g)</t>
  </si>
  <si>
    <t>Total Glutamate (mg)</t>
  </si>
  <si>
    <t>Total Aspartate (mg)</t>
  </si>
  <si>
    <t>Total Adenylate (mg)</t>
  </si>
  <si>
    <t>Totally Inosinate (mg)</t>
  </si>
  <si>
    <t>Total Guanylate (mg)</t>
  </si>
  <si>
    <t>Weight Conversion</t>
  </si>
  <si>
    <t>Volume Conversion</t>
  </si>
  <si>
    <t>Mass Conversion</t>
  </si>
  <si>
    <t>Volume-to-Weight (g)</t>
  </si>
  <si>
    <t>Conversion</t>
  </si>
  <si>
    <t>Mass (Final) (g)</t>
  </si>
  <si>
    <t>Total</t>
  </si>
  <si>
    <t>Total Glutamate Conc. (g/100g)</t>
  </si>
  <si>
    <t>Total Aspartate Conc. (g/100g)</t>
  </si>
  <si>
    <t>Total Adenylate Conc. (g/100g)</t>
  </si>
  <si>
    <t>Total Inosinate Conc. (g/100g)</t>
  </si>
  <si>
    <t>Total Guanylate Conc. (g/100g)</t>
  </si>
  <si>
    <t>Total Umami (eq.)</t>
  </si>
  <si>
    <t>Total Umami Taste Intensity</t>
  </si>
  <si>
    <t>Almonds</t>
  </si>
  <si>
    <t>Sultana</t>
  </si>
  <si>
    <t>Flour, Wheat</t>
  </si>
  <si>
    <t>Bread</t>
  </si>
  <si>
    <t>Beer</t>
  </si>
  <si>
    <t>Beans, Baked (Canned)</t>
  </si>
  <si>
    <t>Asparagus (Canned)</t>
  </si>
  <si>
    <t>Cheese, Camembert</t>
  </si>
  <si>
    <t>Cheese, Cottage</t>
  </si>
  <si>
    <t>Chicken, Barbecued</t>
  </si>
  <si>
    <t>Corn (Canned)</t>
  </si>
  <si>
    <t>Milk, Cow</t>
  </si>
  <si>
    <t>Hamburger Meat</t>
  </si>
  <si>
    <t>Mushroom (Canned)</t>
  </si>
  <si>
    <t>Juice, Orange</t>
  </si>
  <si>
    <t>Juice, Tomato</t>
  </si>
  <si>
    <t>Sauce, Tomato</t>
  </si>
  <si>
    <t>Peanut Butter</t>
  </si>
  <si>
    <t>Potato</t>
  </si>
  <si>
    <t>Pizza</t>
  </si>
  <si>
    <t>Potato Chips</t>
  </si>
  <si>
    <t>Fish, Salmon (Canned)</t>
  </si>
  <si>
    <t>Fish, Salmon (Fresh)</t>
  </si>
  <si>
    <t>Fish, Sardine (Canned)</t>
  </si>
  <si>
    <t>Beef Stock Cube</t>
  </si>
  <si>
    <t>Asparagus (Fresh)</t>
  </si>
  <si>
    <t>Wine, Claret</t>
  </si>
  <si>
    <t>Wine, Moselle</t>
  </si>
  <si>
    <t>Wine, Riesling</t>
  </si>
  <si>
    <t>Corn (Fresh)</t>
  </si>
  <si>
    <t>Strawberry</t>
  </si>
  <si>
    <t>Sweet Potato</t>
  </si>
  <si>
    <t>Tomato (Canned)</t>
  </si>
  <si>
    <t>Tomato (Dried)</t>
  </si>
  <si>
    <t>Truffle</t>
  </si>
  <si>
    <t>Truffle, Black</t>
  </si>
  <si>
    <t>Walnut</t>
  </si>
  <si>
    <t>Sesame Seed</t>
  </si>
  <si>
    <t>Snap Pea</t>
  </si>
  <si>
    <t>Green Pea</t>
  </si>
  <si>
    <t>Coffee Bean</t>
  </si>
  <si>
    <t>Chive</t>
  </si>
  <si>
    <t>Cacao Nib</t>
  </si>
  <si>
    <t>Chicken Soup</t>
  </si>
  <si>
    <t>Sauce, Tartar</t>
  </si>
  <si>
    <t>Broth, Beef</t>
  </si>
  <si>
    <t>Broth, Chicken</t>
  </si>
  <si>
    <t>Broth, Turkey</t>
  </si>
  <si>
    <t>Email: bryan@bryanquocle.com</t>
  </si>
  <si>
    <t>Comments? Questions? Feedback? Get in touch.</t>
  </si>
  <si>
    <t>Wine, Generic</t>
  </si>
  <si>
    <t>Oyster, Generic</t>
  </si>
  <si>
    <t>Oyster, European</t>
  </si>
  <si>
    <t>Oyster, Pacific</t>
  </si>
  <si>
    <t>Wine, Champagne</t>
  </si>
  <si>
    <t>Grapefruit</t>
  </si>
  <si>
    <t>Juice, Grapefruit</t>
  </si>
  <si>
    <t>Nectarine</t>
  </si>
  <si>
    <t>Juice, Peach</t>
  </si>
  <si>
    <t>Prunes (Fresh)</t>
  </si>
  <si>
    <t>Prunes (Dried)</t>
  </si>
  <si>
    <t>Grape</t>
  </si>
  <si>
    <t>Juice, Grape</t>
  </si>
  <si>
    <t>Juice, Apple</t>
  </si>
  <si>
    <t>Ingredients</t>
  </si>
  <si>
    <t>Weight (Units)</t>
  </si>
  <si>
    <t>Volume (Units)</t>
  </si>
  <si>
    <t>Title</t>
  </si>
  <si>
    <t>Authors</t>
  </si>
  <si>
    <t>Year</t>
  </si>
  <si>
    <t>Pages</t>
  </si>
  <si>
    <t>Ikeda, K.</t>
  </si>
  <si>
    <t>New Seasonings</t>
  </si>
  <si>
    <t>Chemical Senses</t>
  </si>
  <si>
    <t>847-849</t>
  </si>
  <si>
    <t>Yamaguchi, S.; Ninomiya, K.</t>
  </si>
  <si>
    <t>Umami and Food Palatability</t>
  </si>
  <si>
    <t>Journal of Nutrition</t>
  </si>
  <si>
    <t>https://doi.org/10.1093/chemse/27.9.847</t>
  </si>
  <si>
    <t>https://doi.org/10.1093/jn/130.4.921s</t>
  </si>
  <si>
    <t>921S-926S</t>
  </si>
  <si>
    <t>Yamaguchi, S.</t>
  </si>
  <si>
    <t>The Synergistic Taste Effect of Monosodium Glutamate and Disodium 5'-Inosinate</t>
  </si>
  <si>
    <t>Journal of Food Science</t>
  </si>
  <si>
    <t>https://doi.org/10.1111/j.1365-2621.1967.tb09715.x</t>
  </si>
  <si>
    <t>473-478</t>
  </si>
  <si>
    <t>Synthesis of Compounds Related to Inosine 5'-Phosphate and Their Flavor Enhancing Activity. IV. 2-Substituted Inosine 5'-Phosphates</t>
  </si>
  <si>
    <t>Imai, K.-I.; Marumoto, R.; Kobayashi, K.; Yoshioka, Y.; Toda, J.; Honjo, M.</t>
  </si>
  <si>
    <t>https://doi.org/10.1248/cpb.19.576</t>
  </si>
  <si>
    <t>576-586</t>
  </si>
  <si>
    <t>Chemical and Pharmaceutical Bulletin</t>
  </si>
  <si>
    <t>Yamaguchi, S.; Yoshikawa, T.; Ikeda, S.; Ninomiya, T.</t>
  </si>
  <si>
    <t>Measurement of the Relative Taste Intensity of Some L-alpha-Amino Acids and 5'-Nucleotides</t>
  </si>
  <si>
    <t>846-849</t>
  </si>
  <si>
    <t>https://doi.org/10.1111/j.1365-2621.1971.tb15541.x</t>
  </si>
  <si>
    <t>Enzymatic Formation of Nucleotides and the Flavour Enhancer 5'-GMP During Vegetable Processing</t>
  </si>
  <si>
    <t>Nguyen, T.T.;  Palcic, M.M.; Hadziyev, D.</t>
  </si>
  <si>
    <t>https://doi.org/10.1515/9783110867121-021</t>
  </si>
  <si>
    <t>De Gruyter</t>
  </si>
  <si>
    <t>275-286</t>
  </si>
  <si>
    <t>Festring, D.; Hofmann, T.</t>
  </si>
  <si>
    <t>Systematic Studies on the Chemical Structure and Umami Enhancing Activity of Maillard-Modified Guanosine 5'-Monophosphates</t>
  </si>
  <si>
    <t>Journal of Agricultural and Food Chemistry</t>
  </si>
  <si>
    <t>665-676</t>
  </si>
  <si>
    <t>https://doi.org/10.1021/jf103849e</t>
  </si>
  <si>
    <t>Suess, B.; Brockhoff, A.; Degenhardt, A.; Billmayer, S.; Meyerhof, W.; Hofmann, T.</t>
  </si>
  <si>
    <t>Human Taste and Human Receptor Responses to Chemosensorica Generated by Maillard-type N2-Alkyl- and N2-Arylthiomethylation of Guanosine 5'-Monophosphates</t>
  </si>
  <si>
    <t>https://doi.org/10.1021/jf504686s</t>
  </si>
  <si>
    <t>11429-11440</t>
  </si>
  <si>
    <t>Kranz, M.; Hofmann, T.</t>
  </si>
  <si>
    <t>Food-Grade Synthesis of Maillard-Type Taste Enhancers Using Natural Deep Eutectic Solvents (NADES)</t>
  </si>
  <si>
    <t>Molecules</t>
  </si>
  <si>
    <t>https://doi.org/10.3390/molecules23020261</t>
  </si>
  <si>
    <t>1-13</t>
  </si>
  <si>
    <t>Kurihara, K.</t>
  </si>
  <si>
    <t>Umami the Fifth Basic Taste: History of Studies on Receptor Mechanisms and Role as a Food Flavor</t>
  </si>
  <si>
    <t>BioMed Research International</t>
  </si>
  <si>
    <t>https://doi.org/10.1155/2015/189402</t>
  </si>
  <si>
    <t>1-10</t>
  </si>
  <si>
    <t>Mouritsen, O.G.; Duelund, L.; Petersen, M.A.; Hartmann, A.L.; Frost, M.B.</t>
  </si>
  <si>
    <t>Umami Taste, Free Amino Acid Composition, and Volatile Compounds of Brown Seaweeds</t>
  </si>
  <si>
    <t>Journal of Applied Psychology</t>
  </si>
  <si>
    <t>1213-1232</t>
  </si>
  <si>
    <t>https://doi.org/10.1007/s10811-018-1632-x</t>
  </si>
  <si>
    <t>Komata, Y.</t>
  </si>
  <si>
    <t>Umami Taste of Seafoods</t>
  </si>
  <si>
    <t>https://doi.org/10.1080/87559129009540887</t>
  </si>
  <si>
    <t>457-487</t>
  </si>
  <si>
    <t>Food Reviews International</t>
  </si>
  <si>
    <t>List of Umami Rich Ingredients</t>
  </si>
  <si>
    <t>https://www.umamiinfo.com/richfood/</t>
  </si>
  <si>
    <t>DOI/URL</t>
  </si>
  <si>
    <t>Umami Information Center</t>
  </si>
  <si>
    <t>Khairunnisak, M.; Azizah, A.H.; Jinap, S.; Izzah, N.</t>
  </si>
  <si>
    <t>Monitoring of Free Glutamic Acid in Malaysian Processed Foods, Dishes and Condiments</t>
  </si>
  <si>
    <t>Food Additives &amp; Contaminants: Part A</t>
  </si>
  <si>
    <t>419-426</t>
  </si>
  <si>
    <t>https://doi.org/10.1080/02652030802596860</t>
  </si>
  <si>
    <t>Populin, T.; Moret, S.; Truant, S.; Conte, L.C.</t>
  </si>
  <si>
    <t>A Survey on the Presence of Free Glutamic Acid in Foodstuffs, with and without Added Monosodium Glutamate</t>
  </si>
  <si>
    <t>Food Chemistry</t>
  </si>
  <si>
    <t>1712-1717</t>
  </si>
  <si>
    <t>https://doi.org/10.1016/j.foodchem.2007.03.034</t>
  </si>
  <si>
    <t>Skurray, G.R.; Pucar, N.</t>
  </si>
  <si>
    <t>L-Glutamic Acid Content of Fresh and Processed Foods</t>
  </si>
  <si>
    <t>177-180</t>
  </si>
  <si>
    <t>https://doi.org/10.1016/0308-8146(88)90060-X</t>
  </si>
  <si>
    <t>Fruits</t>
  </si>
  <si>
    <t>Vegetables</t>
  </si>
  <si>
    <t>Seafood</t>
  </si>
  <si>
    <t>Fish</t>
  </si>
  <si>
    <t>Dairy</t>
  </si>
  <si>
    <t>Grains</t>
  </si>
  <si>
    <t>Beverages</t>
  </si>
  <si>
    <t>Condiments</t>
  </si>
  <si>
    <t>Roots</t>
  </si>
  <si>
    <t>Herbs &amp; Spices</t>
  </si>
  <si>
    <t>Nuts &amp; Seeds</t>
  </si>
  <si>
    <t>Legumes &amp; Pulses</t>
  </si>
  <si>
    <t>Meat &amp; Eggs</t>
  </si>
  <si>
    <t>Fungi</t>
  </si>
  <si>
    <t>Peanuts</t>
  </si>
  <si>
    <t>Salts &amp; Miscellaneous</t>
  </si>
  <si>
    <t>Spirulina (Dried)</t>
  </si>
  <si>
    <t>Dewi, E.N.; Amalia, U.; Mel, M.</t>
  </si>
  <si>
    <r>
      <t xml:space="preserve">The Effect of Different Treatments on the Amino Acid Contents of Micro Algae </t>
    </r>
    <r>
      <rPr>
        <i/>
        <sz val="11"/>
        <color theme="1"/>
        <rFont val="Calibri"/>
        <family val="2"/>
        <scheme val="minor"/>
      </rPr>
      <t>Spirulina</t>
    </r>
    <r>
      <rPr>
        <sz val="11"/>
        <color theme="1"/>
        <rFont val="Calibri"/>
        <family val="2"/>
        <scheme val="minor"/>
      </rPr>
      <t xml:space="preserve"> sp.</t>
    </r>
  </si>
  <si>
    <t>Aquatic Procedia</t>
  </si>
  <si>
    <t>59-65</t>
  </si>
  <si>
    <t>https://doi.org/10.1016/j.aqpro.2016.07.008</t>
  </si>
  <si>
    <t>Tomato, Salad (Generic, Flesh)</t>
  </si>
  <si>
    <t>Tomato, Salad (Generic, Pulp)</t>
  </si>
  <si>
    <t>Tomato, Salad (Carousel, Flesh)</t>
  </si>
  <si>
    <t>Tomato, Salad (Carousel, Pulp)</t>
  </si>
  <si>
    <t>Tomato, Salad (Elegance, Flesh)</t>
  </si>
  <si>
    <t>Tomato, Salad (Elegance, Pulp)</t>
  </si>
  <si>
    <t>Tomato, Salad (Elegance, Italian, Flesh)</t>
  </si>
  <si>
    <t>Tomato, Salad (Elegance, Italian, Pulp)</t>
  </si>
  <si>
    <t>Tomato, Cherry (Generic)</t>
  </si>
  <si>
    <t>Tomato, Cherry (Conchita, Flesh)</t>
  </si>
  <si>
    <t>Tomato, Cherry (Conchita, Pulp)</t>
  </si>
  <si>
    <t>Tomato, Cherry (Dulce Supersweet, Flesh)</t>
  </si>
  <si>
    <t>Tomato, Cherry (Dulce Supersweet, Pulp)</t>
  </si>
  <si>
    <t>Tomato, Cherry (Piccolo, Flesh)</t>
  </si>
  <si>
    <t>Tomato, Cherry (Piccolo, Pulp)</t>
  </si>
  <si>
    <t>Tomato, Cherry (Sungold, Flesh)</t>
  </si>
  <si>
    <t>Tomato, Cherry (Sungold, Pulp)</t>
  </si>
  <si>
    <t>Tomato, Cherry (Santa Pomodorino, Flesh)</t>
  </si>
  <si>
    <t>Tomato, Cherry (Santa Pomodorino, Pulp)</t>
  </si>
  <si>
    <t>Tomato, Cherry (Tiger, Flesh)</t>
  </si>
  <si>
    <t>Tomato, Cherry (Tiger, Pulp)</t>
  </si>
  <si>
    <t>Tomato, Plum (Celine, Flesh)</t>
  </si>
  <si>
    <t>Tomato, Plum (Celine, Pulp)</t>
  </si>
  <si>
    <t>Tomato, Plum (Flavorino, Flesh)</t>
  </si>
  <si>
    <t>Tomato, Plum (Flavorino, Pulp)</t>
  </si>
  <si>
    <t>Tomato, Plum (Vine Ripened, Flesh)</t>
  </si>
  <si>
    <t>Tomato, Plum (Vine Ripened, Pulp)</t>
  </si>
  <si>
    <t>Tomato, Beefsteak (Flesh)</t>
  </si>
  <si>
    <t>Tomato, Beefsteak (Pulp)</t>
  </si>
  <si>
    <t>Tomato, Red (Flesh)</t>
  </si>
  <si>
    <t>Tomato, Red (Pulp)</t>
  </si>
  <si>
    <t>Oruna-Concha, M.-J.; Methven, L.; Blumenthal, H.; Young, C.; Mottram, D.S.</t>
  </si>
  <si>
    <t>Differences in Glutamic Acid and 5'-Ribonucleotide Contents Between Flesh and Pulp of Tomatoes and Relationship with Umami Taste</t>
  </si>
  <si>
    <t>5776-5780</t>
  </si>
  <si>
    <t>https://doi.org/10.1021/jf070791p</t>
  </si>
  <si>
    <t>Tomato, Red (Fresh, Whole)</t>
  </si>
  <si>
    <t>Tomato, Yellow (Fresh, Whole)</t>
  </si>
  <si>
    <t>Tomato, Green (Fresh, Whole)</t>
  </si>
  <si>
    <t>Sucrose (mg/100g)</t>
  </si>
  <si>
    <t>Glucose (mg/100g)</t>
  </si>
  <si>
    <t>Fructose (mg/100g)</t>
  </si>
  <si>
    <t>Lactose (mg/100g)</t>
  </si>
  <si>
    <t>Galactose (mg/100g)</t>
  </si>
  <si>
    <t>Maltose (mg/100g)</t>
  </si>
  <si>
    <t>Mannitol (mg/100g)</t>
  </si>
  <si>
    <t>Sodium (mg/100g)</t>
  </si>
  <si>
    <t>Potassium (mg/100g)</t>
  </si>
  <si>
    <t>Sorbitol (mg/100g)</t>
  </si>
  <si>
    <t>Glycerol (mg/100g)</t>
  </si>
  <si>
    <t>Erythritol (mg/100g)</t>
  </si>
  <si>
    <t>Xylitol (mg/100g)</t>
  </si>
  <si>
    <t>Citric Acid (mg/100g)</t>
  </si>
  <si>
    <t>Lactic Acid (mg/100g)</t>
  </si>
  <si>
    <t>Acetic Acid (mg/100g)</t>
  </si>
  <si>
    <t>Ascorbic Acid (mg/100g)</t>
  </si>
  <si>
    <t>Tartaric Acid (mg/100g)</t>
  </si>
  <si>
    <t>Malic Acid (mg/100g)</t>
  </si>
  <si>
    <t>Protein (%)</t>
  </si>
  <si>
    <t>Aprea, E.; Charles, M.; Endrizzi, I.; Corollaro, M.L.; Betta, E.; Biasioli, F.; Gasperi, F.</t>
  </si>
  <si>
    <t>Sweet taste in apple; the role of sorbitol, individual sugars, organic acids and volatile compounds</t>
  </si>
  <si>
    <t>Scientific Reports</t>
  </si>
  <si>
    <t>https://www.nature.com/articles/srep44950</t>
  </si>
  <si>
    <t>United States Department of Agriculture</t>
  </si>
  <si>
    <t>FoodData Central</t>
  </si>
  <si>
    <t>https://fdc.nal.usda.gov/fdc-app.html</t>
  </si>
  <si>
    <t>Agave Nectar</t>
  </si>
  <si>
    <t>Agave Syrup</t>
  </si>
  <si>
    <t>Barbados Sugar</t>
  </si>
  <si>
    <t>Barley Malt</t>
  </si>
  <si>
    <t>Barley Malt Extract</t>
  </si>
  <si>
    <t>Barley Malt Syrup</t>
  </si>
  <si>
    <t>Beet Sugar</t>
  </si>
  <si>
    <t>Sugar Beet Molasses</t>
  </si>
  <si>
    <t>Sugar Cane Molasses</t>
  </si>
  <si>
    <t>Sugar</t>
  </si>
  <si>
    <t>Maltotriose (mg/100g)</t>
  </si>
  <si>
    <t>Brown Rice Syrup</t>
  </si>
  <si>
    <t>Brown Sugar</t>
  </si>
  <si>
    <t>Cane Sugar</t>
  </si>
  <si>
    <t>Sucrose</t>
  </si>
  <si>
    <t>Table Sugar</t>
  </si>
  <si>
    <t>Granulated Sugar</t>
  </si>
  <si>
    <t>Glucose</t>
  </si>
  <si>
    <t>Dextrose</t>
  </si>
  <si>
    <t>Fructose</t>
  </si>
  <si>
    <t>Galactose</t>
  </si>
  <si>
    <t>Lactose</t>
  </si>
  <si>
    <t>Maltose</t>
  </si>
  <si>
    <t>Molasses</t>
  </si>
  <si>
    <t>Salt Substitute</t>
  </si>
  <si>
    <t>Potassium Chloride</t>
  </si>
  <si>
    <t>Sodium Chloride</t>
  </si>
  <si>
    <t>Table Salt</t>
  </si>
  <si>
    <t>Baking Powder</t>
  </si>
  <si>
    <t>Baking Soda</t>
  </si>
  <si>
    <t>Sodium Bicarbonate</t>
  </si>
  <si>
    <t>Iodized Salt</t>
  </si>
  <si>
    <t>Canning Salt</t>
  </si>
  <si>
    <t>Pickling Salt</t>
  </si>
  <si>
    <t>Fleur de Sel</t>
  </si>
  <si>
    <t>Celtic Salt</t>
  </si>
  <si>
    <t>Sel Gris</t>
  </si>
  <si>
    <t>Kosher Salt</t>
  </si>
  <si>
    <t>Himalayan Salt</t>
  </si>
  <si>
    <t>Pink Salt</t>
  </si>
  <si>
    <t>Sea Salt</t>
  </si>
  <si>
    <t>Glutathione (mg/100g)</t>
  </si>
  <si>
    <t>Cysteine Sulfoxides (mg/100g)</t>
  </si>
  <si>
    <t>High Fructose Corn Syrup-42 (HFCS-42)</t>
  </si>
  <si>
    <t>High Fructose Corn Syrup-55 (HFCS-55)</t>
  </si>
  <si>
    <t>High Fructose Corn Syrup-90 (HFCS-90)</t>
  </si>
  <si>
    <t>Honey</t>
  </si>
  <si>
    <t>Invert Sugar</t>
  </si>
  <si>
    <t>Colonna, W.J.; Samaraweera, U.; Clarke, M.A.; Cleary, M.; Godhsall, M.A.; White, J.S.</t>
  </si>
  <si>
    <t>https://doi.org/10.1002/0471238961.1618151603151215.a01.pub2</t>
  </si>
  <si>
    <t>Kirk-Othmer Encyclopedia of Chemical Technology</t>
  </si>
  <si>
    <t>Journal/Book</t>
  </si>
  <si>
    <t>Golden Syrup</t>
  </si>
  <si>
    <t>Palm Sugar</t>
  </si>
  <si>
    <t>Palm Date Sugar</t>
  </si>
  <si>
    <t>Maltose Syrup</t>
  </si>
  <si>
    <t>Treacle</t>
  </si>
  <si>
    <t>Tapioca Syrup 28 DE</t>
  </si>
  <si>
    <t>Tapioca Syrup 42 DE</t>
  </si>
  <si>
    <t>Tapioca Syrup 60 DE</t>
  </si>
  <si>
    <t>Sorghum Syrup</t>
  </si>
  <si>
    <t>Muscovado Sugar</t>
  </si>
  <si>
    <t>Maple Syrup</t>
  </si>
  <si>
    <t>Stuckel, J.G.; Low, N.H.</t>
  </si>
  <si>
    <t>Food Research International</t>
  </si>
  <si>
    <t>373-379</t>
  </si>
  <si>
    <t>https://doi.org/10.1016/0963-9969(96)00000-2</t>
  </si>
  <si>
    <t>Malt Sugar</t>
  </si>
  <si>
    <t>Evaporated Cane Juice</t>
  </si>
  <si>
    <t>Demerara Sugar</t>
  </si>
  <si>
    <t>Date Sugar</t>
  </si>
  <si>
    <t>Glycerol</t>
  </si>
  <si>
    <t>Sweeteners</t>
  </si>
  <si>
    <t>Glycerin</t>
  </si>
  <si>
    <t>Sorbitol</t>
  </si>
  <si>
    <t>Xylitol</t>
  </si>
  <si>
    <t>Mannitol</t>
  </si>
  <si>
    <t>Erythritol</t>
  </si>
  <si>
    <t>Carob Syrup</t>
  </si>
  <si>
    <t>Caster Sugar</t>
  </si>
  <si>
    <t>Confectioner's Sugar</t>
  </si>
  <si>
    <t>Coconut Palm Sugar</t>
  </si>
  <si>
    <t>Uronic Acid (mg/100g)</t>
  </si>
  <si>
    <t>Arabinose (mg/100g)</t>
  </si>
  <si>
    <t>Xylose (mg/100g)</t>
  </si>
  <si>
    <t>Mannose (mg/100g)</t>
  </si>
  <si>
    <t>Yun, Y.-R.; Lee, J.J.; Lee, H.J.; Choi, Y.-J.; Lee, J.-H.; Park, S.J.; Park, S.H.; Seo, H.-Y.; Min, S.G.</t>
  </si>
  <si>
    <t>Comparison of Quality Characteristics of Commercial Kimchi Manufactured in Korea, China, and the United States</t>
  </si>
  <si>
    <t>Foods</t>
  </si>
  <si>
    <t>https://doi.org/10.3390/foods10102488</t>
  </si>
  <si>
    <t>Siva, N.; Thavarajah, P.; Kumar, S.; Thavarajah, D.</t>
  </si>
  <si>
    <t>Variability in Prebiotic Carbohydrates in Different Market Classes of Chickpea, Common Bean, and Lentil Collected From the American Local Market</t>
  </si>
  <si>
    <t>Frontiers in Nutrition</t>
  </si>
  <si>
    <t>1 to 11</t>
  </si>
  <si>
    <t>1 to 12</t>
  </si>
  <si>
    <t>1 to 67</t>
  </si>
  <si>
    <t>https://doi.org/10.3389/fnut.2019.00038</t>
  </si>
  <si>
    <t>Wasabi</t>
  </si>
  <si>
    <t>Wierzbicka, G.T.; Hagen, T.M.; Tones, D.P.</t>
  </si>
  <si>
    <t>Glutathione in Food</t>
  </si>
  <si>
    <t>Journal of Food Composition and Analysis</t>
  </si>
  <si>
    <t>327-337</t>
  </si>
  <si>
    <t>https://doi.org/10.1016/0889-1575(89)90004-5</t>
  </si>
  <si>
    <t>Nakagawa, K.; Ikeuchi, M.; Tsugita, Y.</t>
  </si>
  <si>
    <t>Glutathione Content in Plant Food Materials</t>
  </si>
  <si>
    <t>Food Hygiene Journal</t>
  </si>
  <si>
    <t>425-427</t>
  </si>
  <si>
    <t>https://doi.org/10.3358/shokueishi.27.425</t>
  </si>
  <si>
    <t>Jones, D.P.; Coates, R.J.; Flagg, E.W.; Eley, J.W.; Block, G.; Greenburg, R.S.</t>
  </si>
  <si>
    <t>Glutathione in Foods Listed in the National Cancer Institute's Health Habits and History Food Frequency Questionnaire</t>
  </si>
  <si>
    <t>Nutrition and Cancer</t>
  </si>
  <si>
    <t>57-75</t>
  </si>
  <si>
    <t>https://doi.org/10.1080/01635589209514173</t>
  </si>
  <si>
    <r>
      <t>Kubec, R.; Svobodov</t>
    </r>
    <r>
      <rPr>
        <sz val="11"/>
        <color theme="1"/>
        <rFont val="Aptos Narrow"/>
        <family val="2"/>
      </rPr>
      <t>á</t>
    </r>
    <r>
      <rPr>
        <sz val="11"/>
        <color theme="1"/>
        <rFont val="Calibri"/>
        <family val="2"/>
      </rPr>
      <t>, M.; Velíˇsek</t>
    </r>
    <r>
      <rPr>
        <sz val="11"/>
        <color theme="1"/>
        <rFont val="Calibri"/>
        <family val="2"/>
        <scheme val="minor"/>
      </rPr>
      <t>, J.</t>
    </r>
  </si>
  <si>
    <t>Gas-Chromatographic Determination of S-Methylcysteine Sulfoxide in Cruciferous Vegetables</t>
  </si>
  <si>
    <t>European Food Research and Technology</t>
  </si>
  <si>
    <t>386-388</t>
  </si>
  <si>
    <t>https://doi.org/10.1007/s002170100384</t>
  </si>
  <si>
    <t>The Chemical Composition of 80 Pure Maple Syrup Samples Produced in North America</t>
  </si>
  <si>
    <t>Yoo, K.S.; Pike, L.M.</t>
  </si>
  <si>
    <r>
      <t xml:space="preserve">Determination of Flavor Precursor Compound S-Alk(en)yl-L-Cysteine Sulfoxides by an HPLC Method and Their Distribution in </t>
    </r>
    <r>
      <rPr>
        <i/>
        <sz val="11"/>
        <color theme="1"/>
        <rFont val="Calibri"/>
        <family val="2"/>
        <scheme val="minor"/>
      </rPr>
      <t>Allium</t>
    </r>
    <r>
      <rPr>
        <sz val="11"/>
        <color theme="1"/>
        <rFont val="Calibri"/>
        <family val="2"/>
        <scheme val="minor"/>
      </rPr>
      <t xml:space="preserve"> Species</t>
    </r>
  </si>
  <si>
    <t>Scientia Horticulturae</t>
  </si>
  <si>
    <t>1 to 10</t>
  </si>
  <si>
    <t>https://doi.org/10.1016/S0304-4238(98)00107-1</t>
  </si>
  <si>
    <t>Glutathione</t>
  </si>
  <si>
    <t>Sodium</t>
  </si>
  <si>
    <t>Potassium</t>
  </si>
  <si>
    <t>Taste Models</t>
  </si>
  <si>
    <t>Cysteine Sulfoxides</t>
  </si>
  <si>
    <t>Magnitude</t>
  </si>
  <si>
    <t>Murphy, C.; Cardello, A.V.; Brand, J.G.B.</t>
  </si>
  <si>
    <t>Tastes of Fifteen Halide Salts Following Water and NaCl: Anion and Cation Effects</t>
  </si>
  <si>
    <t>Physiology and Behavior</t>
  </si>
  <si>
    <t>1083-1095</t>
  </si>
  <si>
    <t>https://doi.org/10.1016/0031-9384(81)90213-4</t>
  </si>
  <si>
    <t>Kurihara, K.; Ugawa, T.</t>
  </si>
  <si>
    <t>Enhancement of Canine Taste Responses to Umami Substances by Salts</t>
  </si>
  <si>
    <t>https://doi.org/10.1152/ajpregu.1994.266.3.R944</t>
  </si>
  <si>
    <t>R944-R949</t>
  </si>
  <si>
    <t>Sodium + MSG Modulating Effect</t>
  </si>
  <si>
    <t>log[NaCl]</t>
  </si>
  <si>
    <t>[NaCl]</t>
  </si>
  <si>
    <t>log[KCl]</t>
  </si>
  <si>
    <t>[KCl]</t>
  </si>
  <si>
    <t>[Salt]</t>
  </si>
  <si>
    <t>Ratio</t>
  </si>
  <si>
    <t>Potassium + MSG Modulating Effect (Estimated)</t>
  </si>
  <si>
    <t>Potassium vs Sodium MSG Modulating Effects</t>
  </si>
  <si>
    <t>NaCl</t>
  </si>
  <si>
    <t>KCl</t>
  </si>
  <si>
    <t>Total Sodium (mg)</t>
  </si>
  <si>
    <t>Total Potassium (mg)</t>
  </si>
  <si>
    <t>Total Sodium Conc. (g/100g)</t>
  </si>
  <si>
    <t>Total Potassium Conc. (g/100g)</t>
  </si>
  <si>
    <t>Total Protein (g)</t>
  </si>
  <si>
    <t>Total Glutathione (mg)</t>
  </si>
  <si>
    <t>Total Cysteine Sulfoxides (mg)</t>
  </si>
  <si>
    <t>Total Protein Conc. (g/100g)</t>
  </si>
  <si>
    <t>Total Glutathione Conc. (g/100g)</t>
  </si>
  <si>
    <t>Total Cysteine Sulfoxides Conc. (g/100g)</t>
  </si>
  <si>
    <t>[Na]</t>
  </si>
  <si>
    <t>[K]</t>
  </si>
  <si>
    <t>Saltiness Intensity</t>
  </si>
  <si>
    <t>Total Saltiness Intensity</t>
  </si>
  <si>
    <t>Umami Intensity</t>
  </si>
  <si>
    <t>[Na] Saltiness Intensity</t>
  </si>
  <si>
    <t>[K] Saltiness Intensity</t>
  </si>
  <si>
    <t>Absolute Values</t>
  </si>
  <si>
    <t>Parsing Values</t>
  </si>
  <si>
    <t>Total Umami Taste Intensity * [Na] Modulation</t>
  </si>
  <si>
    <t>Magnitude (%)</t>
  </si>
  <si>
    <t>[GSH] mM</t>
  </si>
  <si>
    <t>Magntitude (%) Corrected</t>
  </si>
  <si>
    <t>LOG([GSH])</t>
  </si>
  <si>
    <t>Nishimura, T.; Kuroda, M.</t>
  </si>
  <si>
    <t>Koku in Food Science and Physiology</t>
  </si>
  <si>
    <t>Springer Nature Singapore</t>
  </si>
  <si>
    <t>https://link.springer.com/book/10.1007/978-981-13-8453-0</t>
  </si>
  <si>
    <t>Goto, T.K.; Yeung, A.W.K.; Tanabe, H.C.; Ito, Y.; Jung, H.-S.; Ninomiya, Y.</t>
  </si>
  <si>
    <t>Enhancement of Combined Umami and Salty Taste by Glutathione in the Human Tongue and Brain</t>
  </si>
  <si>
    <t>623-630</t>
  </si>
  <si>
    <t>https://doi.org/10.1093/chemse/bjw066</t>
  </si>
  <si>
    <t>Kokumi Intensity (%)</t>
  </si>
  <si>
    <t>[CyS(O)R] mM</t>
  </si>
  <si>
    <t>LOG([CyS(O)R]</t>
  </si>
  <si>
    <t>[GSH] Kokumi Intensity (Correction for &gt;100%)</t>
  </si>
  <si>
    <t>[GSH] Kokumi Intensity</t>
  </si>
  <si>
    <t>[CyS(O)R] Kokumi Intensity</t>
  </si>
  <si>
    <t>[CyS(O)R] Kokumi Intensity (Correction for &gt;100%)</t>
  </si>
  <si>
    <t>Total Kokumi Intensity</t>
  </si>
  <si>
    <t>Total Saltiness Intensity * Kokumi Modulation</t>
  </si>
  <si>
    <t>Total Umami Taste Intensity * [Na] Modulation * Kokumi Modulation</t>
  </si>
  <si>
    <t>Ueda, Y.; Tsubuku, T.; Miyajima, R.</t>
  </si>
  <si>
    <t>Composition of Sulfur-Containing Components in Onion and Their Flavor Characters</t>
  </si>
  <si>
    <t>Bioscience, Biotechnology, and Biochemistry</t>
  </si>
  <si>
    <t>108-110</t>
  </si>
  <si>
    <t>https://doi.org/10.1271/bbb.58.108</t>
  </si>
  <si>
    <t>gamma-Glutamyl-Valyl-Glycine (mg/100g)</t>
  </si>
  <si>
    <t>Kuroda, M.; Kato, Y.; Yamazaki, J.; Kai, Y.; Mizukoshi, T.; Miyano, H.; Eto, Y.</t>
  </si>
  <si>
    <r>
      <t xml:space="preserve">Determination and Quantification of </t>
    </r>
    <r>
      <rPr>
        <sz val="11"/>
        <color theme="1"/>
        <rFont val="Aptos Narrow"/>
        <family val="2"/>
      </rPr>
      <t>γ</t>
    </r>
    <r>
      <rPr>
        <sz val="11"/>
        <color theme="1"/>
        <rFont val="Calibri"/>
        <family val="2"/>
      </rPr>
      <t>-Glutamyl-Valyl-Glycine in Commercial Fish Sauces</t>
    </r>
  </si>
  <si>
    <t>7291-7296</t>
  </si>
  <si>
    <t>https://doi.org/10.1021/jf3012932</t>
  </si>
  <si>
    <t>Determination and Quantification of γ-Glutamyl-Valyl-Glycine in Commercial Soy Sauces</t>
  </si>
  <si>
    <t>823-828</t>
  </si>
  <si>
    <t>https://doi.org/10.1016/j.foodchem.2013.03.070</t>
  </si>
  <si>
    <t>Miyamura, N.; Iida, Y.; Kuroda, M.; Kato, Y.; Yamazaki, J.; Mizukoshi, T.; Miyano, H.</t>
  </si>
  <si>
    <r>
      <t xml:space="preserve">Determination and Quantification of Kokumi Peptide, </t>
    </r>
    <r>
      <rPr>
        <sz val="11"/>
        <color theme="1"/>
        <rFont val="Aptos Narrow"/>
        <family val="2"/>
      </rPr>
      <t>γ</t>
    </r>
    <r>
      <rPr>
        <sz val="11"/>
        <color theme="1"/>
        <rFont val="Calibri"/>
        <family val="2"/>
      </rPr>
      <t>-Glutamyl-Valyl-Glycine, in Brewed Alcoholic Beverages</t>
    </r>
  </si>
  <si>
    <t>Journal of Bioscience and Bioengineering</t>
  </si>
  <si>
    <t>311-314</t>
  </si>
  <si>
    <t>https://doi.org/10.1016/j.jbiosc.2015.01.018</t>
  </si>
  <si>
    <t>Wang, H.; Suo, R.; Zhang, C.; Li, R.; Shi, X.; Liu, Y.; Wang, W.; Wang, J.</t>
  </si>
  <si>
    <r>
      <t xml:space="preserve">A New Approach to Quantitative Determination of </t>
    </r>
    <r>
      <rPr>
        <sz val="11"/>
        <color theme="1"/>
        <rFont val="Aptos Narrow"/>
        <family val="2"/>
      </rPr>
      <t>γ</t>
    </r>
    <r>
      <rPr>
        <sz val="11"/>
        <color theme="1"/>
        <rFont val="Calibri"/>
        <family val="2"/>
      </rPr>
      <t>-Glutamyl-Valyl-Glycine in Various Aquatic Products</t>
    </r>
  </si>
  <si>
    <t>1 to 6</t>
  </si>
  <si>
    <t>https://doi.org/10.1016/j.jfca.2020.103634</t>
  </si>
  <si>
    <t>Kuroda, M.; Kato, Y.; Yamazaki, J.; Kageyama, N.; Mizukoshi, T.; Miyano, H.; Eto, Y.</t>
  </si>
  <si>
    <t>Determination of γ-Glutamyl-Valyl-Glycine in Raw Scallop and Processed Scallop Products Using High Pressure Liquid Chromatography-Tandem Mass Spectrometry</t>
  </si>
  <si>
    <t>1640-1644</t>
  </si>
  <si>
    <t>https://doi.org/10.1016/j.foodchem.2012.03.048</t>
  </si>
  <si>
    <t>Kuroda, M.; Sasaki, K.; Yamazaki, J.; Kato, Y.; Mizukoshi, T.</t>
  </si>
  <si>
    <t>Quantification of the Kokumi Peptide, γ-Glutamyl-Valyl-Glycine, in Cheese: Comparison Between Cheese Made From Cow and Ewe Milk</t>
  </si>
  <si>
    <t>Journal of Dairy Science</t>
  </si>
  <si>
    <t>7801-7807</t>
  </si>
  <si>
    <t>https://doi.org/10.3168/jds.2020-18512</t>
  </si>
  <si>
    <r>
      <rPr>
        <b/>
        <sz val="11"/>
        <color theme="1"/>
        <rFont val="Aptos Narrow"/>
        <family val="2"/>
      </rPr>
      <t>γ</t>
    </r>
    <r>
      <rPr>
        <b/>
        <sz val="11"/>
        <color theme="1"/>
        <rFont val="Calibri"/>
        <family val="2"/>
      </rPr>
      <t>-Glutamyl-Valyl-Glycine</t>
    </r>
  </si>
  <si>
    <r>
      <t>[</t>
    </r>
    <r>
      <rPr>
        <b/>
        <sz val="11"/>
        <color theme="1"/>
        <rFont val="Aptos Narrow"/>
        <family val="2"/>
      </rPr>
      <t>γ</t>
    </r>
    <r>
      <rPr>
        <b/>
        <sz val="11"/>
        <color theme="1"/>
        <rFont val="Calibri"/>
        <family val="2"/>
      </rPr>
      <t>-EVG</t>
    </r>
    <r>
      <rPr>
        <b/>
        <sz val="11"/>
        <color theme="1"/>
        <rFont val="Calibri"/>
        <family val="2"/>
        <scheme val="minor"/>
      </rPr>
      <t>] uM</t>
    </r>
  </si>
  <si>
    <r>
      <t>LOG([</t>
    </r>
    <r>
      <rPr>
        <b/>
        <sz val="11"/>
        <color theme="1"/>
        <rFont val="Aptos Narrow"/>
        <family val="2"/>
      </rPr>
      <t>γ</t>
    </r>
    <r>
      <rPr>
        <b/>
        <sz val="11"/>
        <color theme="1"/>
        <rFont val="Calibri"/>
        <family val="2"/>
      </rPr>
      <t>-EVG</t>
    </r>
    <r>
      <rPr>
        <b/>
        <sz val="11"/>
        <color theme="1"/>
        <rFont val="Calibri"/>
        <family val="2"/>
        <scheme val="minor"/>
      </rPr>
      <t>]) mM</t>
    </r>
  </si>
  <si>
    <t>LOG[GSH] mM</t>
  </si>
  <si>
    <t>LOG[CyS(O)R] mM</t>
  </si>
  <si>
    <t>gamma-EVG (mg/100g)</t>
  </si>
  <si>
    <t>Total gamma-EVG (mg)</t>
  </si>
  <si>
    <t>Total gamma-EVG Conc. (g/100g)</t>
  </si>
  <si>
    <t>LOG[EVG] mM</t>
  </si>
  <si>
    <t>[EVG] Kokumi Intensity</t>
  </si>
  <si>
    <t>[EVG] Kokumi Intensity (Correction for &gt;100%)</t>
  </si>
  <si>
    <t>Murayama, Y.; Yasuda, R.; Kuroda, M.; Eto, Y.</t>
  </si>
  <si>
    <t>Kokumi Substances, Enhancers of Basic Tastes, Induce Responses in Calcium-Sensing Receptor Expressing Taste Cells</t>
  </si>
  <si>
    <t>Public Library of Science One</t>
  </si>
  <si>
    <t>https://doi.org/10.1371/journal.pone.0034489</t>
  </si>
  <si>
    <t>1 to 8</t>
  </si>
  <si>
    <t>Miyamura, N.; Kuroda, M.; Mizukoshi, T.; Kato, Y.; Yamazaki, J.; Miyano, H.; Eto, Y.</t>
  </si>
  <si>
    <t>Distribution of a Kokumi Peptide, γ-Glutamyl-Valyl-Glycine, in Various Fermented Foods and the Possibility of Its Contribution to the Sensory Quality of Fermented Foods</t>
  </si>
  <si>
    <t>Fermentation Technology</t>
  </si>
  <si>
    <t>https://pdfs.semanticscholar.org/f09b/4f91f91daa081261efdb0005e5a626f4ddca.pdf</t>
  </si>
  <si>
    <t>[Na] +[K] &lt; 0.1 M</t>
  </si>
  <si>
    <t>[Na] + [K] &gt; 0.1 M</t>
  </si>
  <si>
    <t>Detection Threshold [Na] (g/100g)</t>
  </si>
  <si>
    <t>Detection Threshold [K] (g/100g)</t>
  </si>
  <si>
    <t>Detection Threshold [Glu] (g/100g)</t>
  </si>
  <si>
    <t>Detection Threshold [Asp] (g/100g)</t>
  </si>
  <si>
    <t>Detection Threshold [Ade] (g/100g)</t>
  </si>
  <si>
    <t>Detection Threshold [Ino] (g/100g)</t>
  </si>
  <si>
    <t>Detection Threshold [Gua] (g/100g)</t>
  </si>
  <si>
    <t>Basic Properties of Umami and Effects on Humans</t>
  </si>
  <si>
    <t>833-841</t>
  </si>
  <si>
    <t>https://doi.org/10.1016/0031-9384(91)90192-q</t>
  </si>
  <si>
    <t>Schiffman, S.S.; Manning, M.P.; Warwick, Z.S.; Crumbliss, A.L.</t>
  </si>
  <si>
    <t>Detection Thresholds of Potassium Salts Are Related to the Molar Conductivity of the Anion</t>
  </si>
  <si>
    <t>Brain Research Bulletin</t>
  </si>
  <si>
    <t>623-626</t>
  </si>
  <si>
    <t>https://doi.org/10.1016/0361-9230(95)00054-i</t>
  </si>
  <si>
    <t>Effect of Citric Acid on Umami Intensity</t>
  </si>
  <si>
    <t>Effect of NaCl on Umami Threshold</t>
  </si>
  <si>
    <t>[MSG] mM</t>
  </si>
  <si>
    <t>[Citric Acid] mM</t>
  </si>
  <si>
    <t>[IMP] mM</t>
  </si>
  <si>
    <t>[NaCl] mM</t>
  </si>
  <si>
    <t>Effect of NaCl on MSG Threshold</t>
  </si>
  <si>
    <t>Effect of NaCl on IMP Threshold</t>
  </si>
  <si>
    <t>[Na] g/100g</t>
  </si>
  <si>
    <t>The Human Flavorome Project v.2.2.1 by Bryan Quoc Le, Ph.D.</t>
  </si>
  <si>
    <t>Documentation: https://www.bryanquocle.com/flavorome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</si>
</sst>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333"/>
      <name val="Calibri"/>
      <family val="2"/>
      <scheme val="minor"/>
    </font>
    <font>
      <b/>
      <sz val="11"/>
      <color rgb="FF002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4BEC9"/>
        <bgColor indexed="64"/>
      </patternFill>
    </fill>
    <fill>
      <patternFill patternType="solid">
        <fgColor rgb="FF159A9C"/>
        <bgColor indexed="64"/>
      </patternFill>
    </fill>
    <fill>
      <patternFill patternType="solid">
        <fgColor rgb="FFDEEF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5" xfId="0" applyFont="1" applyBorder="1"/>
    <xf numFmtId="0" fontId="0" fillId="0" borderId="4" xfId="0" applyBorder="1"/>
    <xf numFmtId="0" fontId="0" fillId="0" borderId="6" xfId="0" applyBorder="1"/>
    <xf numFmtId="0" fontId="1" fillId="0" borderId="1" xfId="0" applyFont="1" applyBorder="1"/>
    <xf numFmtId="0" fontId="1" fillId="0" borderId="7" xfId="0" applyFont="1" applyBorder="1"/>
    <xf numFmtId="0" fontId="1" fillId="0" borderId="2" xfId="0" applyFont="1" applyBorder="1"/>
    <xf numFmtId="0" fontId="0" fillId="0" borderId="3" xfId="0" applyBorder="1"/>
    <xf numFmtId="0" fontId="1" fillId="0" borderId="6" xfId="0" applyFont="1" applyBorder="1"/>
    <xf numFmtId="0" fontId="0" fillId="0" borderId="8" xfId="0" applyBorder="1"/>
    <xf numFmtId="0" fontId="1" fillId="0" borderId="9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5" fillId="2" borderId="0" xfId="1" applyFont="1" applyFill="1"/>
    <xf numFmtId="0" fontId="1" fillId="3" borderId="1" xfId="0" applyFont="1" applyFill="1" applyBorder="1"/>
    <xf numFmtId="0" fontId="6" fillId="4" borderId="1" xfId="0" applyFont="1" applyFill="1" applyBorder="1"/>
    <xf numFmtId="0" fontId="6" fillId="4" borderId="9" xfId="0" applyFont="1" applyFill="1" applyBorder="1"/>
    <xf numFmtId="0" fontId="0" fillId="2" borderId="0" xfId="0" applyFill="1"/>
    <xf numFmtId="0" fontId="0" fillId="2" borderId="8" xfId="0" applyFill="1" applyBorder="1"/>
    <xf numFmtId="0" fontId="0" fillId="2" borderId="4" xfId="0" applyFill="1" applyBorder="1"/>
    <xf numFmtId="0" fontId="0" fillId="2" borderId="10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1" xfId="0" applyFill="1" applyBorder="1"/>
    <xf numFmtId="49" fontId="0" fillId="6" borderId="8" xfId="0" applyNumberFormat="1" applyFill="1" applyBorder="1"/>
    <xf numFmtId="0" fontId="5" fillId="6" borderId="11" xfId="1" applyFont="1" applyFill="1" applyBorder="1"/>
    <xf numFmtId="0" fontId="5" fillId="6" borderId="8" xfId="1" applyFont="1" applyFill="1" applyBorder="1"/>
    <xf numFmtId="0" fontId="5" fillId="6" borderId="9" xfId="1" applyFont="1" applyFill="1" applyBorder="1"/>
    <xf numFmtId="0" fontId="1" fillId="0" borderId="12" xfId="0" applyFont="1" applyBorder="1"/>
    <xf numFmtId="0" fontId="0" fillId="0" borderId="7" xfId="0" applyBorder="1"/>
    <xf numFmtId="0" fontId="0" fillId="0" borderId="10" xfId="0" applyBorder="1"/>
    <xf numFmtId="17" fontId="0" fillId="6" borderId="8" xfId="0" applyNumberFormat="1" applyFill="1" applyBorder="1"/>
    <xf numFmtId="16" fontId="0" fillId="6" borderId="8" xfId="0" applyNumberFormat="1" applyFill="1" applyBorder="1"/>
    <xf numFmtId="2" fontId="0" fillId="0" borderId="0" xfId="0" applyNumberFormat="1"/>
    <xf numFmtId="164" fontId="0" fillId="0" borderId="0" xfId="0" applyNumberFormat="1"/>
    <xf numFmtId="0" fontId="0" fillId="0" borderId="13" xfId="0" applyBorder="1"/>
    <xf numFmtId="0" fontId="0" fillId="0" borderId="14" xfId="0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1" fillId="0" borderId="1" xfId="0" applyFont="1" applyBorder="1"/>
    <xf numFmtId="0" fontId="5" fillId="2" borderId="0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9A9C"/>
      <color rgb="FFB4BEC9"/>
      <color rgb="FFDEEFE7"/>
      <color rgb="FF0023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Sodium Response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45009208223972003"/>
                  <c:y val="-5.410834062408865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Calculations!$B$24:$B$27</c:f>
              <c:numCache>
                <c:formatCode>General</c:formatCode>
                <c:ptCount val="4"/>
                <c:pt idx="1">
                  <c:v>1.2E-2</c:v>
                </c:pt>
                <c:pt idx="2">
                  <c:v>3.5700000000000003E-2</c:v>
                </c:pt>
                <c:pt idx="3">
                  <c:v>0.106</c:v>
                </c:pt>
              </c:numCache>
            </c:numRef>
          </c:xVal>
          <c:yVal>
            <c:numRef>
              <c:f>Calculations!$C$24:$C$27</c:f>
              <c:numCache>
                <c:formatCode>General</c:formatCode>
                <c:ptCount val="4"/>
                <c:pt idx="1">
                  <c:v>0.15</c:v>
                </c:pt>
                <c:pt idx="2">
                  <c:v>2.8</c:v>
                </c:pt>
                <c:pt idx="3">
                  <c:v>6.04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F-4B65-B9BF-5D6D7AB91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13727"/>
        <c:axId val="93870799"/>
      </c:scatterChart>
      <c:valAx>
        <c:axId val="90613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70799"/>
        <c:crosses val="autoZero"/>
        <c:crossBetween val="midCat"/>
      </c:valAx>
      <c:valAx>
        <c:axId val="9387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13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Potassium Response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Calculations!$F$25:$F$27</c:f>
              <c:numCache>
                <c:formatCode>General</c:formatCode>
                <c:ptCount val="3"/>
                <c:pt idx="0">
                  <c:v>1.17E-2</c:v>
                </c:pt>
                <c:pt idx="1">
                  <c:v>3.5299999999999998E-2</c:v>
                </c:pt>
                <c:pt idx="2">
                  <c:v>0.112</c:v>
                </c:pt>
              </c:numCache>
            </c:numRef>
          </c:xVal>
          <c:yVal>
            <c:numRef>
              <c:f>Calculations!$G$25:$G$27</c:f>
              <c:numCache>
                <c:formatCode>General</c:formatCode>
                <c:ptCount val="3"/>
                <c:pt idx="0">
                  <c:v>0</c:v>
                </c:pt>
                <c:pt idx="1">
                  <c:v>0.60829999999999995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95-4E0F-80E3-5B3E697F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307935"/>
        <c:axId val="157793695"/>
      </c:scatterChart>
      <c:valAx>
        <c:axId val="1079307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93695"/>
        <c:crosses val="autoZero"/>
        <c:crossBetween val="midCat"/>
      </c:valAx>
      <c:valAx>
        <c:axId val="15779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307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Modulating Effect of</a:t>
            </a:r>
            <a:r>
              <a:rPr lang="en-US" baseline="0"/>
              <a:t> Sodium on MSG ([NaCl]&lt;0.1)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4381911636045492"/>
                  <c:y val="-1.177821522309711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Calculations!$L$24:$L$28</c:f>
              <c:numCache>
                <c:formatCode>General</c:formatCode>
                <c:ptCount val="5"/>
                <c:pt idx="0">
                  <c:v>1E-3</c:v>
                </c:pt>
                <c:pt idx="1">
                  <c:v>0.01</c:v>
                </c:pt>
                <c:pt idx="2">
                  <c:v>1.9952623149688792E-2</c:v>
                </c:pt>
                <c:pt idx="3">
                  <c:v>5.0118723362727206E-2</c:v>
                </c:pt>
                <c:pt idx="4">
                  <c:v>0.1</c:v>
                </c:pt>
              </c:numCache>
            </c:numRef>
          </c:xVal>
          <c:yVal>
            <c:numRef>
              <c:f>Calculations!$M$24:$M$28</c:f>
              <c:numCache>
                <c:formatCode>General</c:formatCode>
                <c:ptCount val="5"/>
                <c:pt idx="0">
                  <c:v>0</c:v>
                </c:pt>
                <c:pt idx="1">
                  <c:v>3.7699999999999997E-2</c:v>
                </c:pt>
                <c:pt idx="2">
                  <c:v>0.1197</c:v>
                </c:pt>
                <c:pt idx="3">
                  <c:v>0.3911</c:v>
                </c:pt>
                <c:pt idx="4">
                  <c:v>0.58279999999999998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4C-41C2-81FF-0CEAFC69B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093487"/>
        <c:axId val="1427308111"/>
      </c:scatterChart>
      <c:valAx>
        <c:axId val="185309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308111"/>
        <c:crosses val="autoZero"/>
        <c:crossBetween val="midCat"/>
      </c:valAx>
      <c:valAx>
        <c:axId val="1427308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093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Modulating Effect of Sodium on MSG</a:t>
            </a:r>
            <a:r>
              <a:rPr lang="en-US" baseline="0"/>
              <a:t> ([NaCl]&gt;0.1)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055883639545056"/>
                  <c:y val="-0.4760728346456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Calculations!$L$28:$L$31</c:f>
              <c:numCache>
                <c:formatCode>General</c:formatCode>
                <c:ptCount val="4"/>
                <c:pt idx="0">
                  <c:v>0.1</c:v>
                </c:pt>
                <c:pt idx="1">
                  <c:v>0.20323570109362216</c:v>
                </c:pt>
                <c:pt idx="2">
                  <c:v>0.48977881936844614</c:v>
                </c:pt>
                <c:pt idx="3">
                  <c:v>0.95499258602143589</c:v>
                </c:pt>
              </c:numCache>
            </c:numRef>
          </c:xVal>
          <c:yVal>
            <c:numRef>
              <c:f>Calculations!$M$28:$M$31</c:f>
              <c:numCache>
                <c:formatCode>General</c:formatCode>
                <c:ptCount val="4"/>
                <c:pt idx="0">
                  <c:v>0.58279999999999998</c:v>
                </c:pt>
                <c:pt idx="1">
                  <c:v>0.5232</c:v>
                </c:pt>
                <c:pt idx="2">
                  <c:v>0.30380000000000001</c:v>
                </c:pt>
                <c:pt idx="3">
                  <c:v>4.5699999999999998E-2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6-43CB-939B-7017796BF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110911"/>
        <c:axId val="59393583"/>
      </c:scatterChart>
      <c:valAx>
        <c:axId val="142811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3583"/>
        <c:crosses val="autoZero"/>
        <c:crossBetween val="midCat"/>
      </c:valAx>
      <c:valAx>
        <c:axId val="59393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110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Modulating Effect</a:t>
            </a:r>
            <a:r>
              <a:rPr lang="en-US" baseline="0"/>
              <a:t> of Potassium on MSG ([KCl]&lt;0.1)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Calculations!$L$38:$L$42</c:f>
              <c:numCache>
                <c:formatCode>General</c:formatCode>
                <c:ptCount val="5"/>
                <c:pt idx="0">
                  <c:v>1E-3</c:v>
                </c:pt>
                <c:pt idx="1">
                  <c:v>0.01</c:v>
                </c:pt>
                <c:pt idx="2">
                  <c:v>1.9952623149688792E-2</c:v>
                </c:pt>
                <c:pt idx="3">
                  <c:v>5.0118723362727206E-2</c:v>
                </c:pt>
                <c:pt idx="4">
                  <c:v>0.1</c:v>
                </c:pt>
              </c:numCache>
            </c:numRef>
          </c:xVal>
          <c:yVal>
            <c:numRef>
              <c:f>Calculations!$M$38:$M$42</c:f>
              <c:numCache>
                <c:formatCode>0.000</c:formatCode>
                <c:ptCount val="5"/>
                <c:pt idx="0">
                  <c:v>0</c:v>
                </c:pt>
                <c:pt idx="1">
                  <c:v>3.0546666666666666E-2</c:v>
                </c:pt>
                <c:pt idx="2">
                  <c:v>9.6987692307692303E-2</c:v>
                </c:pt>
                <c:pt idx="3">
                  <c:v>0.31689128205128203</c:v>
                </c:pt>
                <c:pt idx="4">
                  <c:v>0.47221743589743587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F-401E-BC1C-958491B13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088207"/>
        <c:axId val="130270079"/>
      </c:scatterChart>
      <c:valAx>
        <c:axId val="185308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70079"/>
        <c:crosses val="autoZero"/>
        <c:crossBetween val="midCat"/>
      </c:valAx>
      <c:valAx>
        <c:axId val="13027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08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Modulating</a:t>
            </a:r>
            <a:r>
              <a:rPr lang="en-US" baseline="0"/>
              <a:t> Effect of Potassium on MSG ([KCl]&gt;0.1)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4830927384076993E-2"/>
                  <c:y val="-0.420517279090113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Calculations!$L$42:$L$44</c:f>
              <c:numCache>
                <c:formatCode>General</c:formatCode>
                <c:ptCount val="3"/>
                <c:pt idx="0">
                  <c:v>0.1</c:v>
                </c:pt>
                <c:pt idx="1">
                  <c:v>0.48977881936844614</c:v>
                </c:pt>
                <c:pt idx="2">
                  <c:v>0.95499258602143589</c:v>
                </c:pt>
              </c:numCache>
            </c:numRef>
          </c:xVal>
          <c:yVal>
            <c:numRef>
              <c:f>Calculations!$M$42:$M$44</c:f>
              <c:numCache>
                <c:formatCode>0.000</c:formatCode>
                <c:ptCount val="3"/>
                <c:pt idx="0">
                  <c:v>0.47221743589743587</c:v>
                </c:pt>
                <c:pt idx="1">
                  <c:v>0.24615589743589744</c:v>
                </c:pt>
                <c:pt idx="2">
                  <c:v>3.7028717948717947E-2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52-42DD-A52C-662608DD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102063"/>
        <c:axId val="122211055"/>
      </c:scatterChart>
      <c:valAx>
        <c:axId val="185110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11055"/>
        <c:crosses val="autoZero"/>
        <c:crossBetween val="midCat"/>
      </c:valAx>
      <c:valAx>
        <c:axId val="12221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1102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Glutathione</a:t>
            </a:r>
            <a:r>
              <a:rPr lang="en-US" baseline="0"/>
              <a:t> Response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0.1500883639545057"/>
                  <c:y val="-7.56558034412365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Calculations!$B$53:$B$60</c:f>
              <c:numCache>
                <c:formatCode>General</c:formatCode>
                <c:ptCount val="8"/>
                <c:pt idx="0">
                  <c:v>-4.3474385351580525</c:v>
                </c:pt>
                <c:pt idx="1">
                  <c:v>-3.8622394970984386</c:v>
                </c:pt>
                <c:pt idx="2">
                  <c:v>-3.3780501707281334</c:v>
                </c:pt>
                <c:pt idx="3">
                  <c:v>-2.9259761903469417</c:v>
                </c:pt>
                <c:pt idx="4">
                  <c:v>-2.4421288630972096</c:v>
                </c:pt>
                <c:pt idx="5">
                  <c:v>-1.9638512358111087</c:v>
                </c:pt>
                <c:pt idx="6">
                  <c:v>-1.4721216431157744</c:v>
                </c:pt>
                <c:pt idx="7">
                  <c:v>-1.0057325566877107</c:v>
                </c:pt>
              </c:numCache>
            </c:numRef>
          </c:xVal>
          <c:yVal>
            <c:numRef>
              <c:f>Calculations!$C$53:$C$60</c:f>
              <c:numCache>
                <c:formatCode>0.00</c:formatCode>
                <c:ptCount val="8"/>
                <c:pt idx="0">
                  <c:v>12.848074083225969</c:v>
                </c:pt>
                <c:pt idx="1">
                  <c:v>14.483058874749229</c:v>
                </c:pt>
                <c:pt idx="2">
                  <c:v>33.481005583305404</c:v>
                </c:pt>
                <c:pt idx="3">
                  <c:v>62.843661565796204</c:v>
                </c:pt>
                <c:pt idx="4">
                  <c:v>87.722611504315367</c:v>
                </c:pt>
                <c:pt idx="5">
                  <c:v>100</c:v>
                </c:pt>
                <c:pt idx="6">
                  <c:v>97.713727635890862</c:v>
                </c:pt>
                <c:pt idx="7">
                  <c:v>97.670190797253397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93-464C-8824-E1545276D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261536"/>
        <c:axId val="365594400"/>
      </c:scatterChart>
      <c:valAx>
        <c:axId val="35626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594400"/>
        <c:crosses val="autoZero"/>
        <c:crossBetween val="midCat"/>
      </c:valAx>
      <c:valAx>
        <c:axId val="3655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6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Cysteine Sulfoxide</a:t>
            </a:r>
            <a:r>
              <a:rPr lang="en-US" baseline="0"/>
              <a:t> Response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1"/>
            <c:trendlineLbl>
              <c:layout>
                <c:manualLayout>
                  <c:x val="7.4999999999999997E-2"/>
                  <c:y val="-9.30373286672499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Calculations!$F$53:$F$60</c:f>
              <c:numCache>
                <c:formatCode>General</c:formatCode>
                <c:ptCount val="8"/>
                <c:pt idx="0">
                  <c:v>-4.2979400110500867</c:v>
                </c:pt>
                <c:pt idx="1">
                  <c:v>-3.8127409729904733</c:v>
                </c:pt>
                <c:pt idx="2">
                  <c:v>-3.3285516466201681</c:v>
                </c:pt>
                <c:pt idx="3">
                  <c:v>-2.8764776662389764</c:v>
                </c:pt>
                <c:pt idx="4">
                  <c:v>-2.3926303389892443</c:v>
                </c:pt>
                <c:pt idx="5">
                  <c:v>-1.9143527117031434</c:v>
                </c:pt>
                <c:pt idx="6">
                  <c:v>-1.4226231190078089</c:v>
                </c:pt>
                <c:pt idx="7">
                  <c:v>-0.95623403257974549</c:v>
                </c:pt>
              </c:numCache>
            </c:numRef>
          </c:xVal>
          <c:yVal>
            <c:numRef>
              <c:f>Calculations!$G$53:$G$60</c:f>
              <c:numCache>
                <c:formatCode>General</c:formatCode>
                <c:ptCount val="8"/>
                <c:pt idx="0">
                  <c:v>12.848074083225969</c:v>
                </c:pt>
                <c:pt idx="1">
                  <c:v>14.483058874749229</c:v>
                </c:pt>
                <c:pt idx="2">
                  <c:v>33.481005583305404</c:v>
                </c:pt>
                <c:pt idx="3">
                  <c:v>62.843661565796204</c:v>
                </c:pt>
                <c:pt idx="4">
                  <c:v>87.722611504315367</c:v>
                </c:pt>
                <c:pt idx="5">
                  <c:v>100</c:v>
                </c:pt>
                <c:pt idx="6">
                  <c:v>97.713727635890862</c:v>
                </c:pt>
                <c:pt idx="7">
                  <c:v>97.670190797253397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B7-482F-8857-032FDDCAF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55360"/>
        <c:axId val="6555696"/>
      </c:scatterChart>
      <c:valAx>
        <c:axId val="76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5696"/>
        <c:crosses val="autoZero"/>
        <c:crossBetween val="midCat"/>
      </c:valAx>
      <c:valAx>
        <c:axId val="655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5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gamma-EVG</a:t>
            </a:r>
            <a:r>
              <a:rPr lang="en-US" baseline="0"/>
              <a:t> Response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-0.24111307961504813"/>
                  <c:y val="4.58796296296296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Calculations!$B$89:$B$93</c:f>
              <c:numCache>
                <c:formatCode>General</c:formatCode>
                <c:ptCount val="5"/>
                <c:pt idx="0">
                  <c:v>-3</c:v>
                </c:pt>
                <c:pt idx="1">
                  <c:v>-2.5228787452803374</c:v>
                </c:pt>
                <c:pt idx="2">
                  <c:v>-2</c:v>
                </c:pt>
                <c:pt idx="3">
                  <c:v>-1.5228787452803376</c:v>
                </c:pt>
                <c:pt idx="4">
                  <c:v>-1</c:v>
                </c:pt>
              </c:numCache>
            </c:numRef>
          </c:xVal>
          <c:yVal>
            <c:numRef>
              <c:f>Calculations!$C$89:$C$93</c:f>
              <c:numCache>
                <c:formatCode>General</c:formatCode>
                <c:ptCount val="5"/>
                <c:pt idx="0">
                  <c:v>0</c:v>
                </c:pt>
                <c:pt idx="1">
                  <c:v>8.9047195013357072</c:v>
                </c:pt>
                <c:pt idx="2">
                  <c:v>42.742653606411395</c:v>
                </c:pt>
                <c:pt idx="3">
                  <c:v>92.965271593944792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4-47F2-88CC-BC6B02F8E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231712"/>
        <c:axId val="248831312"/>
      </c:scatterChart>
      <c:valAx>
        <c:axId val="25023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831312"/>
        <c:crosses val="autoZero"/>
        <c:crossBetween val="midCat"/>
      </c:valAx>
      <c:valAx>
        <c:axId val="2488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23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28</xdr:row>
      <xdr:rowOff>3810</xdr:rowOff>
    </xdr:from>
    <xdr:to>
      <xdr:col>2</xdr:col>
      <xdr:colOff>617220</xdr:colOff>
      <xdr:row>40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12DE15-42D7-40F4-0649-76D732AED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28</xdr:row>
      <xdr:rowOff>3810</xdr:rowOff>
    </xdr:from>
    <xdr:to>
      <xdr:col>8</xdr:col>
      <xdr:colOff>472440</xdr:colOff>
      <xdr:row>39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77E624-673B-DFE1-A7C4-05108ECF2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</xdr:colOff>
      <xdr:row>23</xdr:row>
      <xdr:rowOff>19050</xdr:rowOff>
    </xdr:from>
    <xdr:to>
      <xdr:col>17</xdr:col>
      <xdr:colOff>1043940</xdr:colOff>
      <xdr:row>38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2ABFEA-97B0-D10E-2B56-7D960C58E6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</xdr:colOff>
      <xdr:row>39</xdr:row>
      <xdr:rowOff>11430</xdr:rowOff>
    </xdr:from>
    <xdr:to>
      <xdr:col>17</xdr:col>
      <xdr:colOff>1036320</xdr:colOff>
      <xdr:row>53</xdr:row>
      <xdr:rowOff>11430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A1BC59-4788-7C4A-59AA-180520B37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23</xdr:row>
      <xdr:rowOff>11430</xdr:rowOff>
    </xdr:from>
    <xdr:to>
      <xdr:col>21</xdr:col>
      <xdr:colOff>99060</xdr:colOff>
      <xdr:row>38</xdr:row>
      <xdr:rowOff>11430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B3478C5-0E72-EEFD-31E6-5F54086C55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15240</xdr:colOff>
      <xdr:row>39</xdr:row>
      <xdr:rowOff>11430</xdr:rowOff>
    </xdr:from>
    <xdr:to>
      <xdr:col>21</xdr:col>
      <xdr:colOff>114300</xdr:colOff>
      <xdr:row>53</xdr:row>
      <xdr:rowOff>11430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EA63D62-1656-92CF-BAF0-6FC706DBFE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967740</xdr:colOff>
      <xdr:row>60</xdr:row>
      <xdr:rowOff>179070</xdr:rowOff>
    </xdr:from>
    <xdr:to>
      <xdr:col>2</xdr:col>
      <xdr:colOff>1577340</xdr:colOff>
      <xdr:row>75</xdr:row>
      <xdr:rowOff>179070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47A160-06C3-BC14-A58A-755F03E36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</xdr:colOff>
      <xdr:row>61</xdr:row>
      <xdr:rowOff>3810</xdr:rowOff>
    </xdr:from>
    <xdr:to>
      <xdr:col>8</xdr:col>
      <xdr:colOff>152400</xdr:colOff>
      <xdr:row>76</xdr:row>
      <xdr:rowOff>3810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DB5DCC-E8E9-87C5-F5E6-417EBD7F7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990600</xdr:colOff>
      <xdr:row>94</xdr:row>
      <xdr:rowOff>3810</xdr:rowOff>
    </xdr:from>
    <xdr:to>
      <xdr:col>3</xdr:col>
      <xdr:colOff>15240</xdr:colOff>
      <xdr:row>109</xdr:row>
      <xdr:rowOff>3810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F57AF4-253C-0E36-EAFE-4D258D011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%20bryan@bryanquocle.com" TargetMode="External"/><Relationship Id="rId2" Type="http://schemas.openxmlformats.org/officeDocument/2006/relationships/hyperlink" Target="https://www.bryanquocle.com/flavorome" TargetMode="External"/><Relationship Id="rId1" Type="http://schemas.openxmlformats.org/officeDocument/2006/relationships/hyperlink" Target="https://www.bryanquocle.com/flavorome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1016/0308-8146(88)90060-X" TargetMode="External"/><Relationship Id="rId18" Type="http://schemas.openxmlformats.org/officeDocument/2006/relationships/hyperlink" Target="https://doi.org/10.3389/fnut.2019.00038" TargetMode="External"/><Relationship Id="rId26" Type="http://schemas.openxmlformats.org/officeDocument/2006/relationships/hyperlink" Target="https://doi.org/10.1271/bbb.58.108" TargetMode="External"/><Relationship Id="rId3" Type="http://schemas.openxmlformats.org/officeDocument/2006/relationships/hyperlink" Target="https://doi.org/10.1248/cpb.19.576" TargetMode="External"/><Relationship Id="rId21" Type="http://schemas.openxmlformats.org/officeDocument/2006/relationships/hyperlink" Target="https://doi.org/10.1080/01635589209514173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s://doi.org/10.1021/jf504686s" TargetMode="External"/><Relationship Id="rId12" Type="http://schemas.openxmlformats.org/officeDocument/2006/relationships/hyperlink" Target="https://doi.org/10.1016/j.foodchem.2007.03.034" TargetMode="External"/><Relationship Id="rId17" Type="http://schemas.openxmlformats.org/officeDocument/2006/relationships/hyperlink" Target="https://doi.org/10.1016/0963-9969(96)00000-2" TargetMode="External"/><Relationship Id="rId25" Type="http://schemas.openxmlformats.org/officeDocument/2006/relationships/hyperlink" Target="https://doi.org/10.1093/chemse/bjw066" TargetMode="External"/><Relationship Id="rId33" Type="http://schemas.openxmlformats.org/officeDocument/2006/relationships/hyperlink" Target="https://doi.org/10.1371/journal.pone.0034489" TargetMode="External"/><Relationship Id="rId2" Type="http://schemas.openxmlformats.org/officeDocument/2006/relationships/hyperlink" Target="https://doi.org/10.1111/j.1365-2621.1967.tb09715.x" TargetMode="External"/><Relationship Id="rId16" Type="http://schemas.openxmlformats.org/officeDocument/2006/relationships/hyperlink" Target="https://doi.org/10.1002/0471238961.1618151603151215.a01.pub2" TargetMode="External"/><Relationship Id="rId20" Type="http://schemas.openxmlformats.org/officeDocument/2006/relationships/hyperlink" Target="https://doi.org/10.3358/shokueishi.27.425" TargetMode="External"/><Relationship Id="rId29" Type="http://schemas.openxmlformats.org/officeDocument/2006/relationships/hyperlink" Target="https://doi.org/10.1016/j.jbiosc.2015.01.018" TargetMode="External"/><Relationship Id="rId1" Type="http://schemas.openxmlformats.org/officeDocument/2006/relationships/hyperlink" Target="https://doi.org/10.1093/chemse/27.9.847" TargetMode="External"/><Relationship Id="rId6" Type="http://schemas.openxmlformats.org/officeDocument/2006/relationships/hyperlink" Target="https://doi.org/10.1021/jf103849e" TargetMode="External"/><Relationship Id="rId11" Type="http://schemas.openxmlformats.org/officeDocument/2006/relationships/hyperlink" Target="https://doi.org/10.1080/02652030802596860" TargetMode="External"/><Relationship Id="rId24" Type="http://schemas.openxmlformats.org/officeDocument/2006/relationships/hyperlink" Target="https://doi.org/10.1152/ajpregu.1994.266.3.R944" TargetMode="External"/><Relationship Id="rId32" Type="http://schemas.openxmlformats.org/officeDocument/2006/relationships/hyperlink" Target="https://doi.org/10.3168/jds.2020-18512" TargetMode="External"/><Relationship Id="rId5" Type="http://schemas.openxmlformats.org/officeDocument/2006/relationships/hyperlink" Target="https://doi.org/10.1515/9783110867121-021" TargetMode="External"/><Relationship Id="rId15" Type="http://schemas.openxmlformats.org/officeDocument/2006/relationships/hyperlink" Target="https://doi.org/10.1021/jf070791p" TargetMode="External"/><Relationship Id="rId23" Type="http://schemas.openxmlformats.org/officeDocument/2006/relationships/hyperlink" Target="https://doi.org/10.1016/0031-9384(81)90213-4" TargetMode="External"/><Relationship Id="rId28" Type="http://schemas.openxmlformats.org/officeDocument/2006/relationships/hyperlink" Target="https://doi.org/10.1016/j.foodchem.2013.03.070" TargetMode="External"/><Relationship Id="rId10" Type="http://schemas.openxmlformats.org/officeDocument/2006/relationships/hyperlink" Target="https://doi.org/10.1080/87559129009540887" TargetMode="External"/><Relationship Id="rId19" Type="http://schemas.openxmlformats.org/officeDocument/2006/relationships/hyperlink" Target="https://doi.org/10.1016/0889-1575(89)90004-5" TargetMode="External"/><Relationship Id="rId31" Type="http://schemas.openxmlformats.org/officeDocument/2006/relationships/hyperlink" Target="https://doi.org/10.1016/j.foodchem.2012.03.048" TargetMode="External"/><Relationship Id="rId4" Type="http://schemas.openxmlformats.org/officeDocument/2006/relationships/hyperlink" Target="https://doi.org/10.1111/j.1365-2621.1971.tb15541.x" TargetMode="External"/><Relationship Id="rId9" Type="http://schemas.openxmlformats.org/officeDocument/2006/relationships/hyperlink" Target="https://doi.org/10.1155/2015/189402" TargetMode="External"/><Relationship Id="rId14" Type="http://schemas.openxmlformats.org/officeDocument/2006/relationships/hyperlink" Target="https://doi.org/10.1016/j.aqpro.2016.07.008" TargetMode="External"/><Relationship Id="rId22" Type="http://schemas.openxmlformats.org/officeDocument/2006/relationships/hyperlink" Target="https://doi.org/10.1016/S0304-4238(98)00107-1" TargetMode="External"/><Relationship Id="rId27" Type="http://schemas.openxmlformats.org/officeDocument/2006/relationships/hyperlink" Target="https://doi.org/10.1021/jf3012932" TargetMode="External"/><Relationship Id="rId30" Type="http://schemas.openxmlformats.org/officeDocument/2006/relationships/hyperlink" Target="https://doi.org/10.1016/j.jfca.2020.103634" TargetMode="External"/><Relationship Id="rId8" Type="http://schemas.openxmlformats.org/officeDocument/2006/relationships/hyperlink" Target="https://doi.org/10.3390/molecules2302026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61F1-3625-48B8-A822-20C2C47F2C23}">
  <dimension ref="B1:L26"/>
  <sheetViews>
    <sheetView tabSelected="1" workbookViewId="0"/>
  </sheetViews>
  <sheetFormatPr defaultRowHeight="14.4" x14ac:dyDescent="0.3"/>
  <cols>
    <col min="1" max="1" width="2.77734375" style="15" customWidth="1"/>
    <col min="2" max="2" width="52.44140625" style="15" bestFit="1" customWidth="1"/>
    <col min="3" max="3" width="2.77734375" style="15" customWidth="1"/>
    <col min="4" max="4" width="8.88671875" style="15" customWidth="1"/>
    <col min="5" max="5" width="2.77734375" style="15" customWidth="1"/>
    <col min="6" max="6" width="20" style="16" customWidth="1"/>
    <col min="7" max="7" width="2.77734375" style="15" customWidth="1"/>
    <col min="8" max="8" width="8.88671875" style="15"/>
    <col min="9" max="9" width="2.77734375" style="15" customWidth="1"/>
    <col min="10" max="10" width="20" style="16" customWidth="1"/>
    <col min="11" max="11" width="2.77734375" style="15" customWidth="1"/>
    <col min="12" max="12" width="20" style="15" customWidth="1"/>
    <col min="13" max="13" width="5.6640625" style="15" customWidth="1"/>
    <col min="14" max="16384" width="8.88671875" style="15"/>
  </cols>
  <sheetData>
    <row r="1" spans="2:12" ht="15" customHeight="1" x14ac:dyDescent="0.3"/>
    <row r="2" spans="2:12" x14ac:dyDescent="0.3">
      <c r="B2" s="17" t="s">
        <v>0</v>
      </c>
      <c r="C2" s="18"/>
      <c r="D2" s="17" t="s">
        <v>185</v>
      </c>
      <c r="E2" s="19"/>
      <c r="F2" s="17" t="s">
        <v>187</v>
      </c>
      <c r="G2" s="18"/>
      <c r="H2" s="17" t="s">
        <v>186</v>
      </c>
      <c r="I2" s="19"/>
      <c r="J2" s="17" t="s">
        <v>187</v>
      </c>
      <c r="L2" s="17" t="s">
        <v>644</v>
      </c>
    </row>
    <row r="3" spans="2:12" ht="15" customHeight="1" x14ac:dyDescent="0.3">
      <c r="L3" s="18"/>
    </row>
    <row r="4" spans="2:12" x14ac:dyDescent="0.3">
      <c r="B4" s="20"/>
      <c r="D4" s="21"/>
      <c r="E4" s="18"/>
      <c r="F4" s="21"/>
      <c r="G4" s="18"/>
      <c r="H4" s="21"/>
      <c r="I4" s="18"/>
      <c r="J4" s="21"/>
      <c r="L4" s="22">
        <f>Calculations!W22</f>
        <v>0</v>
      </c>
    </row>
    <row r="5" spans="2:12" ht="15" customHeight="1" x14ac:dyDescent="0.3">
      <c r="D5" s="18"/>
      <c r="E5" s="18"/>
      <c r="F5" s="18"/>
      <c r="G5" s="18"/>
      <c r="H5" s="18"/>
      <c r="I5" s="18"/>
      <c r="J5" s="18"/>
    </row>
    <row r="6" spans="2:12" x14ac:dyDescent="0.3">
      <c r="B6" s="20"/>
      <c r="D6" s="21"/>
      <c r="E6" s="18"/>
      <c r="F6" s="21"/>
      <c r="G6" s="18"/>
      <c r="H6" s="21"/>
      <c r="I6" s="18"/>
      <c r="J6" s="21"/>
      <c r="L6" s="17" t="s">
        <v>662</v>
      </c>
    </row>
    <row r="7" spans="2:12" x14ac:dyDescent="0.3">
      <c r="D7" s="18"/>
      <c r="E7" s="18"/>
      <c r="F7" s="18"/>
      <c r="G7" s="18"/>
      <c r="H7" s="18"/>
      <c r="I7" s="18"/>
      <c r="J7" s="18"/>
    </row>
    <row r="8" spans="2:12" x14ac:dyDescent="0.3">
      <c r="B8" s="20"/>
      <c r="D8" s="21"/>
      <c r="E8" s="18"/>
      <c r="F8" s="21"/>
      <c r="G8" s="18"/>
      <c r="H8" s="21"/>
      <c r="I8" s="18"/>
      <c r="J8" s="21"/>
      <c r="L8" s="22">
        <f>Calculations!AW25</f>
        <v>0</v>
      </c>
    </row>
    <row r="9" spans="2:12" x14ac:dyDescent="0.3">
      <c r="D9" s="18"/>
      <c r="E9" s="18"/>
      <c r="F9" s="18"/>
      <c r="G9" s="18"/>
      <c r="H9" s="18"/>
      <c r="I9" s="18"/>
      <c r="J9" s="18"/>
    </row>
    <row r="10" spans="2:12" x14ac:dyDescent="0.3">
      <c r="B10" s="20"/>
      <c r="D10" s="21"/>
      <c r="E10" s="18"/>
      <c r="F10" s="21"/>
      <c r="G10" s="18"/>
      <c r="H10" s="21"/>
      <c r="I10" s="18"/>
      <c r="J10" s="21"/>
      <c r="L10" s="17" t="s">
        <v>642</v>
      </c>
    </row>
    <row r="11" spans="2:12" x14ac:dyDescent="0.3">
      <c r="D11" s="18"/>
      <c r="E11" s="18"/>
      <c r="F11" s="18"/>
      <c r="G11" s="18"/>
      <c r="H11" s="18"/>
      <c r="I11" s="18"/>
      <c r="J11" s="18"/>
    </row>
    <row r="12" spans="2:12" x14ac:dyDescent="0.3">
      <c r="B12" s="20"/>
      <c r="D12" s="21"/>
      <c r="E12" s="18"/>
      <c r="F12" s="21"/>
      <c r="G12" s="18"/>
      <c r="H12" s="21"/>
      <c r="I12" s="18"/>
      <c r="J12" s="21"/>
      <c r="L12" s="22">
        <f>Calculations!AA25</f>
        <v>0</v>
      </c>
    </row>
    <row r="13" spans="2:12" x14ac:dyDescent="0.3">
      <c r="D13" s="18"/>
      <c r="E13" s="18"/>
      <c r="F13" s="18"/>
      <c r="G13" s="18"/>
      <c r="H13" s="18"/>
      <c r="I13" s="18"/>
      <c r="J13" s="18"/>
    </row>
    <row r="14" spans="2:12" x14ac:dyDescent="0.3">
      <c r="B14" s="20"/>
      <c r="D14" s="21"/>
      <c r="E14" s="18"/>
      <c r="F14" s="21"/>
      <c r="G14" s="18"/>
      <c r="H14" s="21"/>
      <c r="I14" s="18"/>
      <c r="J14" s="21"/>
    </row>
    <row r="15" spans="2:12" x14ac:dyDescent="0.3">
      <c r="D15" s="18"/>
      <c r="E15" s="18"/>
      <c r="F15" s="18"/>
      <c r="G15" s="18"/>
      <c r="H15" s="18"/>
      <c r="I15" s="18"/>
      <c r="J15" s="18"/>
    </row>
    <row r="16" spans="2:12" x14ac:dyDescent="0.3">
      <c r="B16" s="20"/>
      <c r="D16" s="21"/>
      <c r="E16" s="18"/>
      <c r="F16" s="21"/>
      <c r="G16" s="18"/>
      <c r="H16" s="21"/>
      <c r="I16" s="18"/>
      <c r="J16" s="21"/>
    </row>
    <row r="17" spans="2:12" x14ac:dyDescent="0.3">
      <c r="D17" s="18"/>
      <c r="E17" s="18"/>
      <c r="F17" s="18"/>
      <c r="G17" s="18"/>
      <c r="H17" s="18"/>
      <c r="I17" s="18"/>
      <c r="J17" s="18"/>
    </row>
    <row r="18" spans="2:12" x14ac:dyDescent="0.3">
      <c r="B18" s="20"/>
      <c r="D18" s="21"/>
      <c r="E18" s="18"/>
      <c r="F18" s="21"/>
      <c r="G18" s="18"/>
      <c r="H18" s="21"/>
      <c r="I18" s="18"/>
      <c r="J18" s="21"/>
    </row>
    <row r="19" spans="2:12" x14ac:dyDescent="0.3">
      <c r="D19" s="18"/>
      <c r="E19" s="18"/>
      <c r="F19" s="18"/>
      <c r="G19" s="18"/>
      <c r="H19" s="18"/>
      <c r="I19" s="18"/>
      <c r="J19" s="18"/>
    </row>
    <row r="20" spans="2:12" x14ac:dyDescent="0.3">
      <c r="B20" s="20"/>
      <c r="D20" s="21"/>
      <c r="E20" s="18"/>
      <c r="F20" s="21"/>
      <c r="G20" s="18"/>
      <c r="H20" s="21"/>
      <c r="I20" s="18"/>
      <c r="J20" s="21"/>
    </row>
    <row r="21" spans="2:12" x14ac:dyDescent="0.3">
      <c r="D21" s="18"/>
      <c r="E21" s="18"/>
      <c r="F21" s="18"/>
      <c r="G21" s="18"/>
      <c r="H21" s="18"/>
      <c r="I21" s="18"/>
      <c r="J21" s="18"/>
    </row>
    <row r="22" spans="2:12" x14ac:dyDescent="0.3">
      <c r="B22" s="20"/>
      <c r="D22" s="21"/>
      <c r="E22" s="18"/>
      <c r="F22" s="21"/>
      <c r="G22" s="18"/>
      <c r="H22" s="21"/>
      <c r="I22" s="18"/>
      <c r="J22" s="21"/>
    </row>
    <row r="23" spans="2:12" x14ac:dyDescent="0.3">
      <c r="L23" s="18"/>
    </row>
    <row r="25" spans="2:12" x14ac:dyDescent="0.3">
      <c r="B25" s="23" t="s">
        <v>749</v>
      </c>
      <c r="D25" s="15" t="s">
        <v>295</v>
      </c>
    </row>
    <row r="26" spans="2:12" x14ac:dyDescent="0.3">
      <c r="B26" s="50" t="s">
        <v>750</v>
      </c>
      <c r="D26" s="23" t="s">
        <v>294</v>
      </c>
    </row>
  </sheetData>
  <hyperlinks>
    <hyperlink ref="B26" r:id="rId1" xr:uid="{78395D16-CFCF-4C09-9E5C-181F6A3562A4}"/>
    <hyperlink ref="B25" r:id="rId2" xr:uid="{A8C4E9EA-9A48-4D54-995C-9DBA5F2920BA}"/>
    <hyperlink ref="D26" r:id="rId3" xr:uid="{E8BC1380-5534-4038-A6FB-A659A8A5F03D}"/>
  </hyperlinks>
  <pageMargins left="0.7" right="0.7" top="0.75" bottom="0.75" header="0.3" footer="0.3"/>
  <pageSetup orientation="portrait" r:id="rId4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xr:uid="{D9A192EB-3861-4ACD-B54A-82378641D0CD}">
          <x14:formula1>
            <xm:f>_xlfn.ANCHORARRAY('Data Validation'!$B$4)</xm:f>
          </x14:formula1>
          <xm:sqref>B4</xm:sqref>
        </x14:dataValidation>
        <x14:dataValidation type="list" allowBlank="1" showInputMessage="1" xr:uid="{6D6EA0B1-E6B6-4F1E-9D28-4DA7CEB3A5CE}">
          <x14:formula1>
            <xm:f>_xlfn.ANCHORARRAY('Data Validation'!$D$4)</xm:f>
          </x14:formula1>
          <xm:sqref>B6</xm:sqref>
        </x14:dataValidation>
        <x14:dataValidation type="list" allowBlank="1" showInputMessage="1" xr:uid="{F11EBB6E-5092-496D-933C-DB0F9F0249A3}">
          <x14:formula1>
            <xm:f>_xlfn.ANCHORARRAY('Data Validation'!$F$4)</xm:f>
          </x14:formula1>
          <xm:sqref>B8</xm:sqref>
        </x14:dataValidation>
        <x14:dataValidation type="list" allowBlank="1" showInputMessage="1" xr:uid="{DAE2BF95-33F1-40DB-A1A7-98C101D84388}">
          <x14:formula1>
            <xm:f>_xlfn.ANCHORARRAY('Data Validation'!$H$4)</xm:f>
          </x14:formula1>
          <xm:sqref>B10</xm:sqref>
        </x14:dataValidation>
        <x14:dataValidation type="list" allowBlank="1" showInputMessage="1" xr:uid="{D0180EFF-9813-44C2-B1C6-0508167607CD}">
          <x14:formula1>
            <xm:f>_xlfn.ANCHORARRAY('Data Validation'!$J$4)</xm:f>
          </x14:formula1>
          <xm:sqref>B12</xm:sqref>
        </x14:dataValidation>
        <x14:dataValidation type="list" allowBlank="1" showInputMessage="1" xr:uid="{603324E1-743C-4E31-A66E-8CC7F70E949F}">
          <x14:formula1>
            <xm:f>_xlfn.ANCHORARRAY('Data Validation'!$L$4)</xm:f>
          </x14:formula1>
          <xm:sqref>B14</xm:sqref>
        </x14:dataValidation>
        <x14:dataValidation type="list" allowBlank="1" showInputMessage="1" xr:uid="{D06DA721-40AE-49CB-A104-6F0B0F825B75}">
          <x14:formula1>
            <xm:f>_xlfn.ANCHORARRAY('Data Validation'!$N$4)</xm:f>
          </x14:formula1>
          <xm:sqref>B16</xm:sqref>
        </x14:dataValidation>
        <x14:dataValidation type="list" allowBlank="1" showInputMessage="1" xr:uid="{4DECBDC1-E34F-43E0-BD3B-2F41653BD9AB}">
          <x14:formula1>
            <xm:f>_xlfn.ANCHORARRAY('Data Validation'!$P$4)</xm:f>
          </x14:formula1>
          <xm:sqref>B18</xm:sqref>
        </x14:dataValidation>
        <x14:dataValidation type="list" allowBlank="1" showInputMessage="1" xr:uid="{D29B7C63-7F75-408C-B064-CA72DB665DFA}">
          <x14:formula1>
            <xm:f>_xlfn.ANCHORARRAY('Data Validation'!$R$4)</xm:f>
          </x14:formula1>
          <xm:sqref>B20</xm:sqref>
        </x14:dataValidation>
        <x14:dataValidation type="list" allowBlank="1" showInputMessage="1" xr:uid="{4219BE24-9253-4DC6-9F9E-C4361CA2A93C}">
          <x14:formula1>
            <xm:f>_xlfn.ANCHORARRAY('Data Validation'!$T$4)</xm:f>
          </x14:formula1>
          <xm:sqref>B22</xm:sqref>
        </x14:dataValidation>
        <x14:dataValidation type="list" allowBlank="1" showInputMessage="1" xr:uid="{01A44986-826A-41A6-BE7C-466379BFE57D}">
          <x14:formula1>
            <xm:f>_xlfn.ANCHORARRAY(Units!$G$4)</xm:f>
          </x14:formula1>
          <xm:sqref>F4</xm:sqref>
        </x14:dataValidation>
        <x14:dataValidation type="list" allowBlank="1" showInputMessage="1" xr:uid="{E409FFF6-255F-4DF6-AA07-414E5C2E776B}">
          <x14:formula1>
            <xm:f>_xlfn.ANCHORARRAY(Units!$I$4)</xm:f>
          </x14:formula1>
          <xm:sqref>F6</xm:sqref>
        </x14:dataValidation>
        <x14:dataValidation type="list" allowBlank="1" showInputMessage="1" xr:uid="{AC011FA0-BE2D-44A5-A47A-2CD5A66915E9}">
          <x14:formula1>
            <xm:f>Units!$K$4</xm:f>
          </x14:formula1>
          <xm:sqref>F8</xm:sqref>
        </x14:dataValidation>
        <x14:dataValidation type="list" allowBlank="1" showInputMessage="1" xr:uid="{4E3739E2-76AC-4B14-9C73-B5289F9F05B7}">
          <x14:formula1>
            <xm:f>_xlfn.ANCHORARRAY(Units!$M$4)</xm:f>
          </x14:formula1>
          <xm:sqref>F10</xm:sqref>
        </x14:dataValidation>
        <x14:dataValidation type="list" allowBlank="1" showInputMessage="1" xr:uid="{CBF410CF-1F9E-4FA6-ACC4-F42D7F0DAAEF}">
          <x14:formula1>
            <xm:f>_xlfn.ANCHORARRAY(Units!$O$4)</xm:f>
          </x14:formula1>
          <xm:sqref>F12</xm:sqref>
        </x14:dataValidation>
        <x14:dataValidation type="list" allowBlank="1" showInputMessage="1" xr:uid="{EC1D94DC-4268-4FF4-924A-52B9140CB706}">
          <x14:formula1>
            <xm:f>_xlfn.ANCHORARRAY(Units!$Q$4)</xm:f>
          </x14:formula1>
          <xm:sqref>F14</xm:sqref>
        </x14:dataValidation>
        <x14:dataValidation type="list" allowBlank="1" showInputMessage="1" xr:uid="{AF0E16E7-AFDD-4437-9B7A-53BB941FE5CD}">
          <x14:formula1>
            <xm:f>_xlfn.ANCHORARRAY(Units!$W$4)</xm:f>
          </x14:formula1>
          <xm:sqref>F20</xm:sqref>
        </x14:dataValidation>
        <x14:dataValidation type="list" allowBlank="1" showInputMessage="1" xr:uid="{5AD6C64A-44F8-4B5B-B0E1-544DFE2A4EE4}">
          <x14:formula1>
            <xm:f>_xlfn.ANCHORARRAY(Units!$S$4)</xm:f>
          </x14:formula1>
          <xm:sqref>F16</xm:sqref>
        </x14:dataValidation>
        <x14:dataValidation type="list" allowBlank="1" showInputMessage="1" xr:uid="{DBBA5345-E388-43D9-A0C8-3E38F65F292B}">
          <x14:formula1>
            <xm:f>_xlfn.ANCHORARRAY(Units!$U$4)</xm:f>
          </x14:formula1>
          <xm:sqref>F18</xm:sqref>
        </x14:dataValidation>
        <x14:dataValidation type="list" allowBlank="1" showInputMessage="1" xr:uid="{7D8C33B5-466C-48EF-944C-6508EF6B7C85}">
          <x14:formula1>
            <xm:f>_xlfn.ANCHORARRAY(Units!$Y$4)</xm:f>
          </x14:formula1>
          <xm:sqref>F22</xm:sqref>
        </x14:dataValidation>
        <x14:dataValidation type="list" allowBlank="1" showInputMessage="1" xr:uid="{759B5D96-B9BC-435C-9DCD-1569707BAE2C}">
          <x14:formula1>
            <xm:f>_xlfn.ANCHORARRAY(Units!$G$13)</xm:f>
          </x14:formula1>
          <xm:sqref>J4</xm:sqref>
        </x14:dataValidation>
        <x14:dataValidation type="list" allowBlank="1" showInputMessage="1" xr:uid="{E30B2B8E-D60A-445F-AE9F-849160406850}">
          <x14:formula1>
            <xm:f>_xlfn.ANCHORARRAY(Units!$I$13)</xm:f>
          </x14:formula1>
          <xm:sqref>J6</xm:sqref>
        </x14:dataValidation>
        <x14:dataValidation type="list" allowBlank="1" showInputMessage="1" xr:uid="{BB4C4A1E-A4AF-4660-BF91-84209FF8F81A}">
          <x14:formula1>
            <xm:f>_xlfn.ANCHORARRAY(Units!$K$13)</xm:f>
          </x14:formula1>
          <xm:sqref>J8</xm:sqref>
        </x14:dataValidation>
        <x14:dataValidation type="list" allowBlank="1" showInputMessage="1" xr:uid="{7AFE41D9-BF0B-4114-AD11-756927AC996F}">
          <x14:formula1>
            <xm:f>_xlfn.ANCHORARRAY(Units!$M$13)</xm:f>
          </x14:formula1>
          <xm:sqref>J10</xm:sqref>
        </x14:dataValidation>
        <x14:dataValidation type="list" allowBlank="1" showInputMessage="1" xr:uid="{141A3E1A-8C96-471C-87A7-845DEF74E97A}">
          <x14:formula1>
            <xm:f>_xlfn.ANCHORARRAY(Units!$O$13)</xm:f>
          </x14:formula1>
          <xm:sqref>J12</xm:sqref>
        </x14:dataValidation>
        <x14:dataValidation type="list" allowBlank="1" showInputMessage="1" xr:uid="{A2B3727B-EB9D-4BDC-80F1-DEAA00EFB803}">
          <x14:formula1>
            <xm:f>_xlfn.ANCHORARRAY(Units!$Q$13)</xm:f>
          </x14:formula1>
          <xm:sqref>J14</xm:sqref>
        </x14:dataValidation>
        <x14:dataValidation type="list" allowBlank="1" showInputMessage="1" xr:uid="{F5051589-E237-4108-8080-DE310A0A3F8D}">
          <x14:formula1>
            <xm:f>_xlfn.ANCHORARRAY(Units!$S$13)</xm:f>
          </x14:formula1>
          <xm:sqref>J16</xm:sqref>
        </x14:dataValidation>
        <x14:dataValidation type="list" allowBlank="1" showInputMessage="1" xr:uid="{FE0E044D-C995-413A-B254-1205BF7C3888}">
          <x14:formula1>
            <xm:f>_xlfn.ANCHORARRAY(Units!$U$13)</xm:f>
          </x14:formula1>
          <xm:sqref>J18</xm:sqref>
        </x14:dataValidation>
        <x14:dataValidation type="list" allowBlank="1" showInputMessage="1" xr:uid="{EE2C7454-BB4E-49C7-B6EC-BC992A75F7F7}">
          <x14:formula1>
            <xm:f>_xlfn.ANCHORARRAY(Units!$W$13)</xm:f>
          </x14:formula1>
          <xm:sqref>J20</xm:sqref>
        </x14:dataValidation>
        <x14:dataValidation type="list" allowBlank="1" showInputMessage="1" xr:uid="{F52AC921-4EAF-498F-AFAD-0D9277686C4F}">
          <x14:formula1>
            <xm:f>_xlfn.ANCHORARRAY(Units!$Y$13)</xm:f>
          </x14:formula1>
          <xm:sqref>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C8EA-FB69-493C-93FA-2E38E7ED1614}">
  <dimension ref="B1:F387"/>
  <sheetViews>
    <sheetView workbookViewId="0"/>
  </sheetViews>
  <sheetFormatPr defaultRowHeight="14.4" x14ac:dyDescent="0.3"/>
  <cols>
    <col min="1" max="1" width="2.77734375" style="27" customWidth="1"/>
    <col min="2" max="2" width="40.21875" style="27" bestFit="1" customWidth="1"/>
    <col min="3" max="3" width="2.77734375" style="27" customWidth="1"/>
    <col min="4" max="4" width="13.77734375" style="27" bestFit="1" customWidth="1"/>
    <col min="5" max="5" width="2.77734375" style="27" customWidth="1"/>
    <col min="6" max="6" width="21" style="27" bestFit="1" customWidth="1"/>
    <col min="7" max="16384" width="8.88671875" style="27"/>
  </cols>
  <sheetData>
    <row r="1" spans="2:6" ht="15" customHeight="1" x14ac:dyDescent="0.3"/>
    <row r="2" spans="2:6" x14ac:dyDescent="0.3">
      <c r="B2" s="24" t="s">
        <v>310</v>
      </c>
      <c r="C2" s="28"/>
      <c r="D2" s="24" t="s">
        <v>311</v>
      </c>
      <c r="E2" s="28"/>
      <c r="F2" s="24" t="s">
        <v>312</v>
      </c>
    </row>
    <row r="3" spans="2:6" x14ac:dyDescent="0.3">
      <c r="B3" s="25" t="s">
        <v>399</v>
      </c>
      <c r="C3" s="28"/>
      <c r="D3" s="31" t="s">
        <v>204</v>
      </c>
      <c r="E3" s="29"/>
      <c r="F3" s="31" t="s">
        <v>208</v>
      </c>
    </row>
    <row r="4" spans="2:6" x14ac:dyDescent="0.3">
      <c r="B4" s="31" t="s">
        <v>8</v>
      </c>
      <c r="C4" s="28"/>
      <c r="D4" s="31" t="s">
        <v>205</v>
      </c>
      <c r="E4" s="29"/>
      <c r="F4" s="31" t="s">
        <v>213</v>
      </c>
    </row>
    <row r="5" spans="2:6" x14ac:dyDescent="0.3">
      <c r="B5" s="31" t="s">
        <v>250</v>
      </c>
      <c r="C5" s="28"/>
      <c r="D5" s="31" t="s">
        <v>211</v>
      </c>
      <c r="E5" s="29"/>
      <c r="F5" s="31" t="s">
        <v>209</v>
      </c>
    </row>
    <row r="6" spans="2:6" x14ac:dyDescent="0.3">
      <c r="B6" s="31" t="s">
        <v>309</v>
      </c>
      <c r="C6" s="28"/>
      <c r="D6" s="31" t="s">
        <v>206</v>
      </c>
      <c r="E6" s="29"/>
      <c r="F6" s="31" t="s">
        <v>212</v>
      </c>
    </row>
    <row r="7" spans="2:6" x14ac:dyDescent="0.3">
      <c r="B7" s="31" t="s">
        <v>308</v>
      </c>
      <c r="C7" s="28"/>
      <c r="D7" s="31" t="s">
        <v>207</v>
      </c>
      <c r="E7" s="29"/>
      <c r="F7" s="31" t="s">
        <v>214</v>
      </c>
    </row>
    <row r="8" spans="2:6" x14ac:dyDescent="0.3">
      <c r="B8" s="31" t="s">
        <v>302</v>
      </c>
      <c r="C8" s="28"/>
      <c r="D8" s="32" t="s">
        <v>210</v>
      </c>
      <c r="E8" s="29"/>
      <c r="F8" s="31" t="s">
        <v>215</v>
      </c>
    </row>
    <row r="9" spans="2:6" x14ac:dyDescent="0.3">
      <c r="B9" s="31" t="s">
        <v>260</v>
      </c>
      <c r="C9" s="30"/>
      <c r="E9" s="29"/>
      <c r="F9" s="31" t="s">
        <v>216</v>
      </c>
    </row>
    <row r="10" spans="2:6" x14ac:dyDescent="0.3">
      <c r="B10" s="31" t="s">
        <v>304</v>
      </c>
      <c r="C10" s="30"/>
      <c r="E10" s="29"/>
      <c r="F10" s="31" t="s">
        <v>217</v>
      </c>
    </row>
    <row r="11" spans="2:6" x14ac:dyDescent="0.3">
      <c r="B11" s="31" t="s">
        <v>261</v>
      </c>
      <c r="C11" s="30"/>
      <c r="E11" s="29"/>
      <c r="F11" s="31" t="s">
        <v>218</v>
      </c>
    </row>
    <row r="12" spans="2:6" x14ac:dyDescent="0.3">
      <c r="B12" s="31" t="s">
        <v>100</v>
      </c>
      <c r="C12" s="30"/>
      <c r="E12" s="29"/>
      <c r="F12" s="31" t="s">
        <v>219</v>
      </c>
    </row>
    <row r="13" spans="2:6" x14ac:dyDescent="0.3">
      <c r="B13" s="31" t="s">
        <v>257</v>
      </c>
      <c r="F13" s="32" t="s">
        <v>220</v>
      </c>
    </row>
    <row r="14" spans="2:6" x14ac:dyDescent="0.3">
      <c r="B14" s="31" t="s">
        <v>300</v>
      </c>
      <c r="C14" s="30"/>
    </row>
    <row r="15" spans="2:6" x14ac:dyDescent="0.3">
      <c r="B15" s="31" t="s">
        <v>272</v>
      </c>
      <c r="C15" s="30"/>
    </row>
    <row r="16" spans="2:6" x14ac:dyDescent="0.3">
      <c r="B16" s="31" t="s">
        <v>296</v>
      </c>
      <c r="C16" s="30"/>
    </row>
    <row r="17" spans="2:3" x14ac:dyDescent="0.3">
      <c r="B17" s="31" t="s">
        <v>273</v>
      </c>
      <c r="C17" s="30"/>
    </row>
    <row r="18" spans="2:3" x14ac:dyDescent="0.3">
      <c r="B18" s="31" t="s">
        <v>274</v>
      </c>
      <c r="C18" s="30"/>
    </row>
    <row r="19" spans="2:3" x14ac:dyDescent="0.3">
      <c r="B19" s="32"/>
      <c r="C19" s="30"/>
    </row>
    <row r="20" spans="2:3" x14ac:dyDescent="0.3">
      <c r="B20" s="26" t="s">
        <v>400</v>
      </c>
      <c r="C20" s="30"/>
    </row>
    <row r="21" spans="2:3" x14ac:dyDescent="0.3">
      <c r="B21" s="31" t="s">
        <v>103</v>
      </c>
    </row>
    <row r="22" spans="2:3" x14ac:dyDescent="0.3">
      <c r="B22" s="31" t="s">
        <v>116</v>
      </c>
    </row>
    <row r="23" spans="2:3" x14ac:dyDescent="0.3">
      <c r="B23" s="31" t="s">
        <v>117</v>
      </c>
    </row>
    <row r="24" spans="2:3" x14ac:dyDescent="0.3">
      <c r="B24" s="31" t="s">
        <v>118</v>
      </c>
    </row>
    <row r="25" spans="2:3" x14ac:dyDescent="0.3">
      <c r="B25" s="31" t="s">
        <v>143</v>
      </c>
    </row>
    <row r="26" spans="2:3" x14ac:dyDescent="0.3">
      <c r="B26" s="31" t="s">
        <v>157</v>
      </c>
    </row>
    <row r="27" spans="2:3" x14ac:dyDescent="0.3">
      <c r="B27" s="31" t="s">
        <v>158</v>
      </c>
    </row>
    <row r="28" spans="2:3" x14ac:dyDescent="0.3">
      <c r="B28" s="31" t="s">
        <v>159</v>
      </c>
    </row>
    <row r="29" spans="2:3" x14ac:dyDescent="0.3">
      <c r="B29" s="31" t="s">
        <v>160</v>
      </c>
    </row>
    <row r="30" spans="2:3" x14ac:dyDescent="0.3">
      <c r="B30" s="31" t="s">
        <v>161</v>
      </c>
    </row>
    <row r="31" spans="2:3" x14ac:dyDescent="0.3">
      <c r="B31" s="31" t="s">
        <v>162</v>
      </c>
    </row>
    <row r="32" spans="2:3" x14ac:dyDescent="0.3">
      <c r="B32" s="31" t="s">
        <v>163</v>
      </c>
    </row>
    <row r="33" spans="2:2" x14ac:dyDescent="0.3">
      <c r="B33" s="31" t="s">
        <v>290</v>
      </c>
    </row>
    <row r="34" spans="2:2" x14ac:dyDescent="0.3">
      <c r="B34" s="31" t="s">
        <v>164</v>
      </c>
    </row>
    <row r="35" spans="2:2" x14ac:dyDescent="0.3">
      <c r="B35" s="31" t="s">
        <v>178</v>
      </c>
    </row>
    <row r="36" spans="2:2" x14ac:dyDescent="0.3">
      <c r="B36" s="31" t="s">
        <v>179</v>
      </c>
    </row>
    <row r="37" spans="2:2" x14ac:dyDescent="0.3">
      <c r="B37" s="31" t="s">
        <v>180</v>
      </c>
    </row>
    <row r="38" spans="2:2" x14ac:dyDescent="0.3">
      <c r="B38" s="31" t="s">
        <v>577</v>
      </c>
    </row>
    <row r="39" spans="2:2" x14ac:dyDescent="0.3">
      <c r="B39" s="32"/>
    </row>
    <row r="40" spans="2:2" x14ac:dyDescent="0.3">
      <c r="B40" s="26" t="s">
        <v>397</v>
      </c>
    </row>
    <row r="41" spans="2:2" x14ac:dyDescent="0.3">
      <c r="B41" s="31" t="s">
        <v>36</v>
      </c>
    </row>
    <row r="42" spans="2:2" x14ac:dyDescent="0.3">
      <c r="B42" s="31" t="s">
        <v>37</v>
      </c>
    </row>
    <row r="43" spans="2:2" x14ac:dyDescent="0.3">
      <c r="B43" s="31" t="s">
        <v>253</v>
      </c>
    </row>
    <row r="44" spans="2:2" x14ac:dyDescent="0.3">
      <c r="B44" s="31" t="s">
        <v>197</v>
      </c>
    </row>
    <row r="45" spans="2:2" x14ac:dyDescent="0.3">
      <c r="B45" s="31" t="s">
        <v>196</v>
      </c>
    </row>
    <row r="46" spans="2:2" x14ac:dyDescent="0.3">
      <c r="B46" s="31" t="s">
        <v>195</v>
      </c>
    </row>
    <row r="47" spans="2:2" x14ac:dyDescent="0.3">
      <c r="B47" s="31" t="s">
        <v>198</v>
      </c>
    </row>
    <row r="48" spans="2:2" x14ac:dyDescent="0.3">
      <c r="B48" s="31" t="s">
        <v>199</v>
      </c>
    </row>
    <row r="49" spans="2:2" x14ac:dyDescent="0.3">
      <c r="B49" s="31" t="s">
        <v>254</v>
      </c>
    </row>
    <row r="50" spans="2:2" x14ac:dyDescent="0.3">
      <c r="B50" s="31" t="s">
        <v>38</v>
      </c>
    </row>
    <row r="51" spans="2:2" x14ac:dyDescent="0.3">
      <c r="B51" s="31" t="s">
        <v>39</v>
      </c>
    </row>
    <row r="52" spans="2:2" x14ac:dyDescent="0.3">
      <c r="B52" s="31" t="s">
        <v>40</v>
      </c>
    </row>
    <row r="53" spans="2:2" x14ac:dyDescent="0.3">
      <c r="B53" s="31" t="s">
        <v>41</v>
      </c>
    </row>
    <row r="54" spans="2:2" x14ac:dyDescent="0.3">
      <c r="B54" s="31" t="s">
        <v>42</v>
      </c>
    </row>
    <row r="55" spans="2:2" x14ac:dyDescent="0.3">
      <c r="B55" s="31" t="s">
        <v>43</v>
      </c>
    </row>
    <row r="56" spans="2:2" x14ac:dyDescent="0.3">
      <c r="B56" s="31" t="s">
        <v>44</v>
      </c>
    </row>
    <row r="57" spans="2:2" x14ac:dyDescent="0.3">
      <c r="B57" s="31" t="s">
        <v>45</v>
      </c>
    </row>
    <row r="58" spans="2:2" x14ac:dyDescent="0.3">
      <c r="B58" s="31" t="s">
        <v>46</v>
      </c>
    </row>
    <row r="59" spans="2:2" x14ac:dyDescent="0.3">
      <c r="B59" s="31" t="s">
        <v>200</v>
      </c>
    </row>
    <row r="60" spans="2:2" x14ac:dyDescent="0.3">
      <c r="B60" s="31" t="s">
        <v>201</v>
      </c>
    </row>
    <row r="61" spans="2:2" x14ac:dyDescent="0.3">
      <c r="B61" s="31" t="s">
        <v>47</v>
      </c>
    </row>
    <row r="62" spans="2:2" x14ac:dyDescent="0.3">
      <c r="B62" s="32"/>
    </row>
    <row r="63" spans="2:2" x14ac:dyDescent="0.3">
      <c r="B63" s="26" t="s">
        <v>396</v>
      </c>
    </row>
    <row r="64" spans="2:2" x14ac:dyDescent="0.3">
      <c r="B64" s="31" t="s">
        <v>24</v>
      </c>
    </row>
    <row r="65" spans="2:2" x14ac:dyDescent="0.3">
      <c r="B65" s="31" t="s">
        <v>33</v>
      </c>
    </row>
    <row r="66" spans="2:2" x14ac:dyDescent="0.3">
      <c r="B66" s="31" t="s">
        <v>34</v>
      </c>
    </row>
    <row r="67" spans="2:2" x14ac:dyDescent="0.3">
      <c r="B67" s="31" t="s">
        <v>68</v>
      </c>
    </row>
    <row r="68" spans="2:2" x14ac:dyDescent="0.3">
      <c r="B68" s="31" t="s">
        <v>69</v>
      </c>
    </row>
    <row r="69" spans="2:2" x14ac:dyDescent="0.3">
      <c r="B69" s="31" t="s">
        <v>70</v>
      </c>
    </row>
    <row r="70" spans="2:2" x14ac:dyDescent="0.3">
      <c r="B70" s="31" t="s">
        <v>71</v>
      </c>
    </row>
    <row r="71" spans="2:2" x14ac:dyDescent="0.3">
      <c r="B71" s="31" t="s">
        <v>72</v>
      </c>
    </row>
    <row r="72" spans="2:2" x14ac:dyDescent="0.3">
      <c r="B72" s="31" t="s">
        <v>73</v>
      </c>
    </row>
    <row r="73" spans="2:2" x14ac:dyDescent="0.3">
      <c r="B73" s="31" t="s">
        <v>76</v>
      </c>
    </row>
    <row r="74" spans="2:2" x14ac:dyDescent="0.3">
      <c r="B74" s="31" t="s">
        <v>77</v>
      </c>
    </row>
    <row r="75" spans="2:2" x14ac:dyDescent="0.3">
      <c r="B75" s="31" t="s">
        <v>78</v>
      </c>
    </row>
    <row r="76" spans="2:2" x14ac:dyDescent="0.3">
      <c r="B76" s="31" t="s">
        <v>79</v>
      </c>
    </row>
    <row r="77" spans="2:2" x14ac:dyDescent="0.3">
      <c r="B77" s="31" t="s">
        <v>80</v>
      </c>
    </row>
    <row r="78" spans="2:2" x14ac:dyDescent="0.3">
      <c r="B78" s="31" t="s">
        <v>81</v>
      </c>
    </row>
    <row r="79" spans="2:2" x14ac:dyDescent="0.3">
      <c r="B79" s="31" t="s">
        <v>82</v>
      </c>
    </row>
    <row r="80" spans="2:2" x14ac:dyDescent="0.3">
      <c r="B80" s="31" t="s">
        <v>83</v>
      </c>
    </row>
    <row r="81" spans="2:2" x14ac:dyDescent="0.3">
      <c r="B81" s="31" t="s">
        <v>84</v>
      </c>
    </row>
    <row r="82" spans="2:2" x14ac:dyDescent="0.3">
      <c r="B82" s="31" t="s">
        <v>85</v>
      </c>
    </row>
    <row r="83" spans="2:2" x14ac:dyDescent="0.3">
      <c r="B83" s="31" t="s">
        <v>86</v>
      </c>
    </row>
    <row r="84" spans="2:2" x14ac:dyDescent="0.3">
      <c r="B84" s="31" t="s">
        <v>87</v>
      </c>
    </row>
    <row r="85" spans="2:2" x14ac:dyDescent="0.3">
      <c r="B85" s="31" t="s">
        <v>268</v>
      </c>
    </row>
    <row r="86" spans="2:2" x14ac:dyDescent="0.3">
      <c r="B86" s="31" t="s">
        <v>267</v>
      </c>
    </row>
    <row r="87" spans="2:2" x14ac:dyDescent="0.3">
      <c r="B87" s="31" t="s">
        <v>88</v>
      </c>
    </row>
    <row r="88" spans="2:2" x14ac:dyDescent="0.3">
      <c r="B88" s="31" t="s">
        <v>89</v>
      </c>
    </row>
    <row r="89" spans="2:2" x14ac:dyDescent="0.3">
      <c r="B89" s="31" t="s">
        <v>269</v>
      </c>
    </row>
    <row r="90" spans="2:2" x14ac:dyDescent="0.3">
      <c r="B90" s="31" t="s">
        <v>74</v>
      </c>
    </row>
    <row r="91" spans="2:2" x14ac:dyDescent="0.3">
      <c r="B91" s="31" t="s">
        <v>75</v>
      </c>
    </row>
    <row r="92" spans="2:2" x14ac:dyDescent="0.3">
      <c r="B92" s="31" t="s">
        <v>90</v>
      </c>
    </row>
    <row r="93" spans="2:2" x14ac:dyDescent="0.3">
      <c r="B93" s="31" t="s">
        <v>91</v>
      </c>
    </row>
    <row r="94" spans="2:2" x14ac:dyDescent="0.3">
      <c r="B94" s="31" t="s">
        <v>92</v>
      </c>
    </row>
    <row r="95" spans="2:2" x14ac:dyDescent="0.3">
      <c r="B95" s="31" t="s">
        <v>93</v>
      </c>
    </row>
    <row r="96" spans="2:2" x14ac:dyDescent="0.3">
      <c r="B96" s="31" t="s">
        <v>94</v>
      </c>
    </row>
    <row r="97" spans="2:2" x14ac:dyDescent="0.3">
      <c r="B97" s="32"/>
    </row>
    <row r="98" spans="2:2" x14ac:dyDescent="0.3">
      <c r="B98" s="26" t="s">
        <v>393</v>
      </c>
    </row>
    <row r="99" spans="2:2" x14ac:dyDescent="0.3">
      <c r="B99" s="31" t="s">
        <v>9</v>
      </c>
    </row>
    <row r="100" spans="2:2" x14ac:dyDescent="0.3">
      <c r="B100" s="31" t="s">
        <v>12</v>
      </c>
    </row>
    <row r="101" spans="2:2" x14ac:dyDescent="0.3">
      <c r="B101" s="31" t="s">
        <v>307</v>
      </c>
    </row>
    <row r="102" spans="2:2" x14ac:dyDescent="0.3">
      <c r="B102" s="31" t="s">
        <v>301</v>
      </c>
    </row>
    <row r="103" spans="2:2" x14ac:dyDescent="0.3">
      <c r="B103" s="31" t="s">
        <v>107</v>
      </c>
    </row>
    <row r="104" spans="2:2" x14ac:dyDescent="0.3">
      <c r="B104" s="31" t="s">
        <v>114</v>
      </c>
    </row>
    <row r="105" spans="2:2" x14ac:dyDescent="0.3">
      <c r="B105" s="31" t="s">
        <v>303</v>
      </c>
    </row>
    <row r="106" spans="2:2" x14ac:dyDescent="0.3">
      <c r="B106" s="31" t="s">
        <v>145</v>
      </c>
    </row>
    <row r="107" spans="2:2" x14ac:dyDescent="0.3">
      <c r="B107" s="31" t="s">
        <v>147</v>
      </c>
    </row>
    <row r="108" spans="2:2" x14ac:dyDescent="0.3">
      <c r="B108" s="31" t="s">
        <v>148</v>
      </c>
    </row>
    <row r="109" spans="2:2" x14ac:dyDescent="0.3">
      <c r="B109" s="31" t="s">
        <v>306</v>
      </c>
    </row>
    <row r="110" spans="2:2" x14ac:dyDescent="0.3">
      <c r="B110" s="31" t="s">
        <v>305</v>
      </c>
    </row>
    <row r="111" spans="2:2" x14ac:dyDescent="0.3">
      <c r="B111" s="31" t="s">
        <v>276</v>
      </c>
    </row>
    <row r="112" spans="2:2" x14ac:dyDescent="0.3">
      <c r="B112" s="31" t="s">
        <v>247</v>
      </c>
    </row>
    <row r="113" spans="2:2" x14ac:dyDescent="0.3">
      <c r="B113" s="31" t="s">
        <v>181</v>
      </c>
    </row>
    <row r="114" spans="2:2" x14ac:dyDescent="0.3">
      <c r="B114" s="32"/>
    </row>
    <row r="115" spans="2:2" x14ac:dyDescent="0.3">
      <c r="B115" s="26" t="s">
        <v>406</v>
      </c>
    </row>
    <row r="116" spans="2:2" x14ac:dyDescent="0.3">
      <c r="B116" s="31" t="s">
        <v>259</v>
      </c>
    </row>
    <row r="117" spans="2:2" x14ac:dyDescent="0.3">
      <c r="B117" s="31" t="s">
        <v>121</v>
      </c>
    </row>
    <row r="118" spans="2:2" x14ac:dyDescent="0.3">
      <c r="B118" s="31" t="s">
        <v>122</v>
      </c>
    </row>
    <row r="119" spans="2:2" x14ac:dyDescent="0.3">
      <c r="B119" s="31" t="s">
        <v>123</v>
      </c>
    </row>
    <row r="120" spans="2:2" x14ac:dyDescent="0.3">
      <c r="B120" s="31" t="s">
        <v>124</v>
      </c>
    </row>
    <row r="121" spans="2:2" x14ac:dyDescent="0.3">
      <c r="B121" s="31" t="s">
        <v>125</v>
      </c>
    </row>
    <row r="122" spans="2:2" x14ac:dyDescent="0.3">
      <c r="B122" s="31" t="s">
        <v>126</v>
      </c>
    </row>
    <row r="123" spans="2:2" x14ac:dyDescent="0.3">
      <c r="B123" s="31" t="s">
        <v>127</v>
      </c>
    </row>
    <row r="124" spans="2:2" x14ac:dyDescent="0.3">
      <c r="B124" s="31" t="s">
        <v>128</v>
      </c>
    </row>
    <row r="125" spans="2:2" x14ac:dyDescent="0.3">
      <c r="B125" s="31" t="s">
        <v>129</v>
      </c>
    </row>
    <row r="126" spans="2:2" x14ac:dyDescent="0.3">
      <c r="B126" s="31" t="s">
        <v>130</v>
      </c>
    </row>
    <row r="127" spans="2:2" x14ac:dyDescent="0.3">
      <c r="B127" s="31" t="s">
        <v>134</v>
      </c>
    </row>
    <row r="128" spans="2:2" x14ac:dyDescent="0.3">
      <c r="B128" s="31" t="s">
        <v>280</v>
      </c>
    </row>
    <row r="129" spans="2:2" x14ac:dyDescent="0.3">
      <c r="B129" s="31" t="s">
        <v>281</v>
      </c>
    </row>
    <row r="130" spans="2:2" x14ac:dyDescent="0.3">
      <c r="B130" s="31" t="s">
        <v>183</v>
      </c>
    </row>
    <row r="131" spans="2:2" x14ac:dyDescent="0.3">
      <c r="B131" s="32"/>
    </row>
    <row r="132" spans="2:2" x14ac:dyDescent="0.3">
      <c r="B132" s="26" t="s">
        <v>398</v>
      </c>
    </row>
    <row r="133" spans="2:2" x14ac:dyDescent="0.3">
      <c r="B133" s="31" t="s">
        <v>14</v>
      </c>
    </row>
    <row r="134" spans="2:2" x14ac:dyDescent="0.3">
      <c r="B134" s="31" t="s">
        <v>249</v>
      </c>
    </row>
    <row r="135" spans="2:2" x14ac:dyDescent="0.3">
      <c r="B135" s="31" t="s">
        <v>275</v>
      </c>
    </row>
    <row r="136" spans="2:2" x14ac:dyDescent="0.3">
      <c r="B136" s="31" t="s">
        <v>256</v>
      </c>
    </row>
    <row r="137" spans="2:2" x14ac:dyDescent="0.3">
      <c r="B137" s="31" t="s">
        <v>248</v>
      </c>
    </row>
    <row r="138" spans="2:2" x14ac:dyDescent="0.3">
      <c r="B138" s="31" t="s">
        <v>265</v>
      </c>
    </row>
    <row r="139" spans="2:2" x14ac:dyDescent="0.3">
      <c r="B139" s="31" t="s">
        <v>153</v>
      </c>
    </row>
    <row r="140" spans="2:2" x14ac:dyDescent="0.3">
      <c r="B140" s="31" t="s">
        <v>154</v>
      </c>
    </row>
    <row r="141" spans="2:2" x14ac:dyDescent="0.3">
      <c r="B141" s="31" t="s">
        <v>155</v>
      </c>
    </row>
    <row r="142" spans="2:2" x14ac:dyDescent="0.3">
      <c r="B142" s="32"/>
    </row>
    <row r="143" spans="2:2" x14ac:dyDescent="0.3">
      <c r="B143" s="25" t="s">
        <v>402</v>
      </c>
    </row>
    <row r="144" spans="2:2" x14ac:dyDescent="0.3">
      <c r="B144" s="31" t="s">
        <v>15</v>
      </c>
    </row>
    <row r="145" spans="2:2" x14ac:dyDescent="0.3">
      <c r="B145" s="31" t="s">
        <v>287</v>
      </c>
    </row>
    <row r="146" spans="2:2" x14ac:dyDescent="0.3">
      <c r="B146" s="31" t="s">
        <v>54</v>
      </c>
    </row>
    <row r="147" spans="2:2" x14ac:dyDescent="0.3">
      <c r="B147" s="31" t="s">
        <v>59</v>
      </c>
    </row>
    <row r="148" spans="2:2" x14ac:dyDescent="0.3">
      <c r="B148" s="31" t="s">
        <v>62</v>
      </c>
    </row>
    <row r="149" spans="2:2" x14ac:dyDescent="0.3">
      <c r="B149" s="31" t="s">
        <v>96</v>
      </c>
    </row>
    <row r="150" spans="2:2" x14ac:dyDescent="0.3">
      <c r="B150" s="31" t="s">
        <v>97</v>
      </c>
    </row>
    <row r="151" spans="2:2" x14ac:dyDescent="0.3">
      <c r="B151" s="31" t="s">
        <v>99</v>
      </c>
    </row>
    <row r="152" spans="2:2" x14ac:dyDescent="0.3">
      <c r="B152" s="31" t="s">
        <v>106</v>
      </c>
    </row>
    <row r="153" spans="2:2" x14ac:dyDescent="0.3">
      <c r="B153" s="31" t="s">
        <v>115</v>
      </c>
    </row>
    <row r="154" spans="2:2" x14ac:dyDescent="0.3">
      <c r="B154" s="31" t="s">
        <v>120</v>
      </c>
    </row>
    <row r="155" spans="2:2" x14ac:dyDescent="0.3">
      <c r="B155" s="31" t="s">
        <v>139</v>
      </c>
    </row>
    <row r="156" spans="2:2" x14ac:dyDescent="0.3">
      <c r="B156" s="31" t="s">
        <v>140</v>
      </c>
    </row>
    <row r="157" spans="2:2" x14ac:dyDescent="0.3">
      <c r="B157" s="31" t="s">
        <v>141</v>
      </c>
    </row>
    <row r="158" spans="2:2" x14ac:dyDescent="0.3">
      <c r="B158" s="31" t="s">
        <v>142</v>
      </c>
    </row>
    <row r="159" spans="2:2" x14ac:dyDescent="0.3">
      <c r="B159" s="31" t="s">
        <v>146</v>
      </c>
    </row>
    <row r="160" spans="2:2" x14ac:dyDescent="0.3">
      <c r="B160" s="31" t="s">
        <v>170</v>
      </c>
    </row>
    <row r="161" spans="2:2" x14ac:dyDescent="0.3">
      <c r="B161" s="32"/>
    </row>
    <row r="162" spans="2:2" x14ac:dyDescent="0.3">
      <c r="B162" s="26" t="s">
        <v>404</v>
      </c>
    </row>
    <row r="163" spans="2:2" x14ac:dyDescent="0.3">
      <c r="B163" s="31" t="s">
        <v>251</v>
      </c>
    </row>
    <row r="164" spans="2:2" x14ac:dyDescent="0.3">
      <c r="B164" s="31" t="s">
        <v>16</v>
      </c>
    </row>
    <row r="165" spans="2:2" x14ac:dyDescent="0.3">
      <c r="B165" s="31" t="s">
        <v>17</v>
      </c>
    </row>
    <row r="166" spans="2:2" x14ac:dyDescent="0.3">
      <c r="B166" s="31" t="s">
        <v>18</v>
      </c>
    </row>
    <row r="167" spans="2:2" x14ac:dyDescent="0.3">
      <c r="B167" s="31" t="s">
        <v>63</v>
      </c>
    </row>
    <row r="168" spans="2:2" x14ac:dyDescent="0.3">
      <c r="B168" s="31" t="s">
        <v>285</v>
      </c>
    </row>
    <row r="169" spans="2:2" x14ac:dyDescent="0.3">
      <c r="B169" s="31" t="s">
        <v>108</v>
      </c>
    </row>
    <row r="170" spans="2:2" x14ac:dyDescent="0.3">
      <c r="B170" s="31" t="s">
        <v>133</v>
      </c>
    </row>
    <row r="171" spans="2:2" x14ac:dyDescent="0.3">
      <c r="B171" s="31" t="s">
        <v>407</v>
      </c>
    </row>
    <row r="172" spans="2:2" x14ac:dyDescent="0.3">
      <c r="B172" s="31" t="s">
        <v>263</v>
      </c>
    </row>
    <row r="173" spans="2:2" x14ac:dyDescent="0.3">
      <c r="B173" s="31" t="s">
        <v>284</v>
      </c>
    </row>
    <row r="174" spans="2:2" x14ac:dyDescent="0.3">
      <c r="B174" s="32"/>
    </row>
    <row r="175" spans="2:2" x14ac:dyDescent="0.3">
      <c r="B175" s="26" t="s">
        <v>405</v>
      </c>
    </row>
    <row r="176" spans="2:2" x14ac:dyDescent="0.3">
      <c r="B176" s="31" t="s">
        <v>19</v>
      </c>
    </row>
    <row r="177" spans="2:2" x14ac:dyDescent="0.3">
      <c r="B177" s="31" t="s">
        <v>20</v>
      </c>
    </row>
    <row r="178" spans="2:2" x14ac:dyDescent="0.3">
      <c r="B178" s="31" t="s">
        <v>270</v>
      </c>
    </row>
    <row r="179" spans="2:2" x14ac:dyDescent="0.3">
      <c r="B179" s="31" t="s">
        <v>23</v>
      </c>
    </row>
    <row r="180" spans="2:2" x14ac:dyDescent="0.3">
      <c r="B180" s="31" t="s">
        <v>25</v>
      </c>
    </row>
    <row r="181" spans="2:2" x14ac:dyDescent="0.3">
      <c r="B181" s="31" t="s">
        <v>291</v>
      </c>
    </row>
    <row r="182" spans="2:2" x14ac:dyDescent="0.3">
      <c r="B182" s="31" t="s">
        <v>292</v>
      </c>
    </row>
    <row r="183" spans="2:2" x14ac:dyDescent="0.3">
      <c r="B183" s="31" t="s">
        <v>293</v>
      </c>
    </row>
    <row r="184" spans="2:2" x14ac:dyDescent="0.3">
      <c r="B184" s="31" t="s">
        <v>49</v>
      </c>
    </row>
    <row r="185" spans="2:2" x14ac:dyDescent="0.3">
      <c r="B185" s="31" t="s">
        <v>255</v>
      </c>
    </row>
    <row r="186" spans="2:2" x14ac:dyDescent="0.3">
      <c r="B186" s="31" t="s">
        <v>289</v>
      </c>
    </row>
    <row r="187" spans="2:2" x14ac:dyDescent="0.3">
      <c r="B187" s="31" t="s">
        <v>61</v>
      </c>
    </row>
    <row r="188" spans="2:2" x14ac:dyDescent="0.3">
      <c r="B188" s="31" t="s">
        <v>65</v>
      </c>
    </row>
    <row r="189" spans="2:2" x14ac:dyDescent="0.3">
      <c r="B189" s="31" t="s">
        <v>66</v>
      </c>
    </row>
    <row r="190" spans="2:2" x14ac:dyDescent="0.3">
      <c r="B190" s="31" t="s">
        <v>67</v>
      </c>
    </row>
    <row r="191" spans="2:2" x14ac:dyDescent="0.3">
      <c r="B191" s="31" t="s">
        <v>95</v>
      </c>
    </row>
    <row r="192" spans="2:2" x14ac:dyDescent="0.3">
      <c r="B192" s="31" t="s">
        <v>101</v>
      </c>
    </row>
    <row r="193" spans="2:2" x14ac:dyDescent="0.3">
      <c r="B193" s="31" t="s">
        <v>258</v>
      </c>
    </row>
    <row r="194" spans="2:2" x14ac:dyDescent="0.3">
      <c r="B194" s="31" t="s">
        <v>105</v>
      </c>
    </row>
    <row r="195" spans="2:2" x14ac:dyDescent="0.3">
      <c r="B195" s="31" t="s">
        <v>149</v>
      </c>
    </row>
    <row r="196" spans="2:2" x14ac:dyDescent="0.3">
      <c r="B196" s="31" t="s">
        <v>150</v>
      </c>
    </row>
    <row r="197" spans="2:2" x14ac:dyDescent="0.3">
      <c r="B197" s="32"/>
    </row>
    <row r="198" spans="2:2" x14ac:dyDescent="0.3">
      <c r="B198" s="26" t="s">
        <v>403</v>
      </c>
    </row>
    <row r="199" spans="2:2" x14ac:dyDescent="0.3">
      <c r="B199" s="31" t="s">
        <v>246</v>
      </c>
    </row>
    <row r="200" spans="2:2" x14ac:dyDescent="0.3">
      <c r="B200" s="31" t="s">
        <v>288</v>
      </c>
    </row>
    <row r="201" spans="2:2" x14ac:dyDescent="0.3">
      <c r="B201" s="31" t="s">
        <v>48</v>
      </c>
    </row>
    <row r="202" spans="2:2" x14ac:dyDescent="0.3">
      <c r="B202" s="31" t="s">
        <v>53</v>
      </c>
    </row>
    <row r="203" spans="2:2" x14ac:dyDescent="0.3">
      <c r="B203" s="31" t="s">
        <v>286</v>
      </c>
    </row>
    <row r="204" spans="2:2" x14ac:dyDescent="0.3">
      <c r="B204" s="31" t="s">
        <v>283</v>
      </c>
    </row>
    <row r="205" spans="2:2" x14ac:dyDescent="0.3">
      <c r="B205" s="31" t="s">
        <v>282</v>
      </c>
    </row>
    <row r="206" spans="2:2" x14ac:dyDescent="0.3">
      <c r="B206" s="31"/>
    </row>
    <row r="207" spans="2:2" x14ac:dyDescent="0.3">
      <c r="B207" s="25" t="s">
        <v>401</v>
      </c>
    </row>
    <row r="208" spans="2:2" x14ac:dyDescent="0.3">
      <c r="B208" s="31" t="s">
        <v>21</v>
      </c>
    </row>
    <row r="209" spans="2:2" x14ac:dyDescent="0.3">
      <c r="B209" s="31" t="s">
        <v>28</v>
      </c>
    </row>
    <row r="210" spans="2:2" x14ac:dyDescent="0.3">
      <c r="B210" s="31" t="s">
        <v>60</v>
      </c>
    </row>
    <row r="211" spans="2:2" x14ac:dyDescent="0.3">
      <c r="B211" s="31" t="s">
        <v>113</v>
      </c>
    </row>
    <row r="212" spans="2:2" x14ac:dyDescent="0.3">
      <c r="B212" s="31" t="s">
        <v>264</v>
      </c>
    </row>
    <row r="213" spans="2:2" x14ac:dyDescent="0.3">
      <c r="B213" s="31" t="s">
        <v>266</v>
      </c>
    </row>
    <row r="214" spans="2:2" x14ac:dyDescent="0.3">
      <c r="B214" s="31" t="s">
        <v>152</v>
      </c>
    </row>
    <row r="215" spans="2:2" x14ac:dyDescent="0.3">
      <c r="B215" s="31" t="s">
        <v>277</v>
      </c>
    </row>
    <row r="216" spans="2:2" x14ac:dyDescent="0.3">
      <c r="B216" s="31" t="s">
        <v>182</v>
      </c>
    </row>
    <row r="217" spans="2:2" x14ac:dyDescent="0.3">
      <c r="B217" s="31"/>
    </row>
    <row r="218" spans="2:2" x14ac:dyDescent="0.3">
      <c r="B218" s="25" t="s">
        <v>408</v>
      </c>
    </row>
    <row r="219" spans="2:2" x14ac:dyDescent="0.3">
      <c r="B219" s="31" t="s">
        <v>7</v>
      </c>
    </row>
    <row r="220" spans="2:2" x14ac:dyDescent="0.3">
      <c r="B220" s="31" t="s">
        <v>508</v>
      </c>
    </row>
    <row r="221" spans="2:2" x14ac:dyDescent="0.3">
      <c r="B221" s="31" t="s">
        <v>509</v>
      </c>
    </row>
    <row r="222" spans="2:2" x14ac:dyDescent="0.3">
      <c r="B222" s="31" t="s">
        <v>512</v>
      </c>
    </row>
    <row r="223" spans="2:2" x14ac:dyDescent="0.3">
      <c r="B223" s="31" t="s">
        <v>515</v>
      </c>
    </row>
    <row r="224" spans="2:2" x14ac:dyDescent="0.3">
      <c r="B224" s="31" t="s">
        <v>514</v>
      </c>
    </row>
    <row r="225" spans="2:2" x14ac:dyDescent="0.3">
      <c r="B225" s="31" t="s">
        <v>518</v>
      </c>
    </row>
    <row r="226" spans="2:2" x14ac:dyDescent="0.3">
      <c r="B226" s="31" t="s">
        <v>511</v>
      </c>
    </row>
    <row r="227" spans="2:2" x14ac:dyDescent="0.3">
      <c r="B227" s="31" t="s">
        <v>517</v>
      </c>
    </row>
    <row r="228" spans="2:2" x14ac:dyDescent="0.3">
      <c r="B228" s="31" t="s">
        <v>119</v>
      </c>
    </row>
    <row r="229" spans="2:2" x14ac:dyDescent="0.3">
      <c r="B229" s="31" t="s">
        <v>222</v>
      </c>
    </row>
    <row r="230" spans="2:2" x14ac:dyDescent="0.3">
      <c r="B230" s="31" t="s">
        <v>513</v>
      </c>
    </row>
    <row r="231" spans="2:2" x14ac:dyDescent="0.3">
      <c r="B231" s="31" t="s">
        <v>519</v>
      </c>
    </row>
    <row r="232" spans="2:2" x14ac:dyDescent="0.3">
      <c r="B232" s="31" t="s">
        <v>505</v>
      </c>
    </row>
    <row r="233" spans="2:2" x14ac:dyDescent="0.3">
      <c r="B233" s="31" t="s">
        <v>190</v>
      </c>
    </row>
    <row r="234" spans="2:2" x14ac:dyDescent="0.3">
      <c r="B234" s="31" t="s">
        <v>504</v>
      </c>
    </row>
    <row r="235" spans="2:2" x14ac:dyDescent="0.3">
      <c r="B235" s="31" t="s">
        <v>516</v>
      </c>
    </row>
    <row r="236" spans="2:2" x14ac:dyDescent="0.3">
      <c r="B236" s="31" t="s">
        <v>510</v>
      </c>
    </row>
    <row r="237" spans="2:2" x14ac:dyDescent="0.3">
      <c r="B237" s="31" t="s">
        <v>506</v>
      </c>
    </row>
    <row r="238" spans="2:2" x14ac:dyDescent="0.3">
      <c r="B238" s="31" t="s">
        <v>507</v>
      </c>
    </row>
    <row r="239" spans="2:2" x14ac:dyDescent="0.3">
      <c r="B239" s="31" t="s">
        <v>189</v>
      </c>
    </row>
    <row r="240" spans="2:2" x14ac:dyDescent="0.3">
      <c r="B240" s="31"/>
    </row>
    <row r="241" spans="2:2" x14ac:dyDescent="0.3">
      <c r="B241" s="25" t="s">
        <v>395</v>
      </c>
    </row>
    <row r="242" spans="2:2" x14ac:dyDescent="0.3">
      <c r="B242" s="31" t="s">
        <v>6</v>
      </c>
    </row>
    <row r="243" spans="2:2" x14ac:dyDescent="0.3">
      <c r="B243" s="31" t="s">
        <v>52</v>
      </c>
    </row>
    <row r="244" spans="2:2" x14ac:dyDescent="0.3">
      <c r="B244" s="31" t="s">
        <v>55</v>
      </c>
    </row>
    <row r="245" spans="2:2" x14ac:dyDescent="0.3">
      <c r="B245" s="31" t="s">
        <v>56</v>
      </c>
    </row>
    <row r="246" spans="2:2" x14ac:dyDescent="0.3">
      <c r="B246" s="31" t="s">
        <v>57</v>
      </c>
    </row>
    <row r="247" spans="2:2" x14ac:dyDescent="0.3">
      <c r="B247" s="31" t="s">
        <v>112</v>
      </c>
    </row>
    <row r="248" spans="2:2" x14ac:dyDescent="0.3">
      <c r="B248" s="31" t="s">
        <v>131</v>
      </c>
    </row>
    <row r="249" spans="2:2" x14ac:dyDescent="0.3">
      <c r="B249" s="31" t="s">
        <v>135</v>
      </c>
    </row>
    <row r="250" spans="2:2" x14ac:dyDescent="0.3">
      <c r="B250" s="31" t="s">
        <v>297</v>
      </c>
    </row>
    <row r="251" spans="2:2" x14ac:dyDescent="0.3">
      <c r="B251" s="31" t="s">
        <v>298</v>
      </c>
    </row>
    <row r="252" spans="2:2" x14ac:dyDescent="0.3">
      <c r="B252" s="31" t="s">
        <v>299</v>
      </c>
    </row>
    <row r="253" spans="2:2" x14ac:dyDescent="0.3">
      <c r="B253" s="31" t="s">
        <v>151</v>
      </c>
    </row>
    <row r="254" spans="2:2" x14ac:dyDescent="0.3">
      <c r="B254" s="31" t="s">
        <v>165</v>
      </c>
    </row>
    <row r="255" spans="2:2" x14ac:dyDescent="0.3">
      <c r="B255" s="31" t="s">
        <v>166</v>
      </c>
    </row>
    <row r="256" spans="2:2" x14ac:dyDescent="0.3">
      <c r="B256" s="31" t="s">
        <v>167</v>
      </c>
    </row>
    <row r="257" spans="2:2" x14ac:dyDescent="0.3">
      <c r="B257" s="31" t="s">
        <v>168</v>
      </c>
    </row>
    <row r="258" spans="2:2" x14ac:dyDescent="0.3">
      <c r="B258" s="31" t="s">
        <v>169</v>
      </c>
    </row>
    <row r="259" spans="2:2" x14ac:dyDescent="0.3">
      <c r="B259" s="31" t="s">
        <v>171</v>
      </c>
    </row>
    <row r="260" spans="2:2" x14ac:dyDescent="0.3">
      <c r="B260" s="31" t="s">
        <v>409</v>
      </c>
    </row>
    <row r="261" spans="2:2" x14ac:dyDescent="0.3">
      <c r="B261" s="31" t="s">
        <v>173</v>
      </c>
    </row>
    <row r="262" spans="2:2" x14ac:dyDescent="0.3">
      <c r="B262" s="31" t="s">
        <v>174</v>
      </c>
    </row>
    <row r="263" spans="2:2" x14ac:dyDescent="0.3">
      <c r="B263" s="31" t="s">
        <v>175</v>
      </c>
    </row>
    <row r="264" spans="2:2" x14ac:dyDescent="0.3">
      <c r="B264" s="31" t="s">
        <v>156</v>
      </c>
    </row>
    <row r="265" spans="2:2" x14ac:dyDescent="0.3">
      <c r="B265" s="32"/>
    </row>
    <row r="266" spans="2:2" x14ac:dyDescent="0.3">
      <c r="B266" s="26" t="s">
        <v>552</v>
      </c>
    </row>
    <row r="267" spans="2:2" x14ac:dyDescent="0.3">
      <c r="B267" s="31" t="s">
        <v>480</v>
      </c>
    </row>
    <row r="268" spans="2:2" x14ac:dyDescent="0.3">
      <c r="B268" s="31" t="s">
        <v>481</v>
      </c>
    </row>
    <row r="269" spans="2:2" x14ac:dyDescent="0.3">
      <c r="B269" s="31" t="s">
        <v>482</v>
      </c>
    </row>
    <row r="270" spans="2:2" x14ac:dyDescent="0.3">
      <c r="B270" s="31" t="s">
        <v>483</v>
      </c>
    </row>
    <row r="271" spans="2:2" x14ac:dyDescent="0.3">
      <c r="B271" s="31" t="s">
        <v>484</v>
      </c>
    </row>
    <row r="272" spans="2:2" x14ac:dyDescent="0.3">
      <c r="B272" s="31" t="s">
        <v>491</v>
      </c>
    </row>
    <row r="273" spans="2:2" x14ac:dyDescent="0.3">
      <c r="B273" s="31" t="s">
        <v>492</v>
      </c>
    </row>
    <row r="274" spans="2:2" x14ac:dyDescent="0.3">
      <c r="B274" s="31" t="s">
        <v>493</v>
      </c>
    </row>
    <row r="275" spans="2:2" x14ac:dyDescent="0.3">
      <c r="B275" s="31" t="s">
        <v>558</v>
      </c>
    </row>
    <row r="276" spans="2:2" x14ac:dyDescent="0.3">
      <c r="B276" s="31" t="s">
        <v>559</v>
      </c>
    </row>
    <row r="277" spans="2:2" x14ac:dyDescent="0.3">
      <c r="B277" s="31" t="s">
        <v>561</v>
      </c>
    </row>
    <row r="278" spans="2:2" x14ac:dyDescent="0.3">
      <c r="B278" s="31" t="s">
        <v>560</v>
      </c>
    </row>
    <row r="279" spans="2:2" x14ac:dyDescent="0.3">
      <c r="B279" s="31" t="s">
        <v>550</v>
      </c>
    </row>
    <row r="280" spans="2:2" x14ac:dyDescent="0.3">
      <c r="B280" s="31" t="s">
        <v>549</v>
      </c>
    </row>
    <row r="281" spans="2:2" x14ac:dyDescent="0.3">
      <c r="B281" s="31" t="s">
        <v>498</v>
      </c>
    </row>
    <row r="282" spans="2:2" x14ac:dyDescent="0.3">
      <c r="B282" s="31" t="s">
        <v>557</v>
      </c>
    </row>
    <row r="283" spans="2:2" x14ac:dyDescent="0.3">
      <c r="B283" s="31" t="s">
        <v>548</v>
      </c>
    </row>
    <row r="284" spans="2:2" x14ac:dyDescent="0.3">
      <c r="B284" s="31" t="s">
        <v>499</v>
      </c>
    </row>
    <row r="285" spans="2:2" x14ac:dyDescent="0.3">
      <c r="B285" s="31" t="s">
        <v>500</v>
      </c>
    </row>
    <row r="286" spans="2:2" x14ac:dyDescent="0.3">
      <c r="B286" s="31" t="s">
        <v>497</v>
      </c>
    </row>
    <row r="287" spans="2:2" x14ac:dyDescent="0.3">
      <c r="B287" s="31" t="s">
        <v>553</v>
      </c>
    </row>
    <row r="288" spans="2:2" x14ac:dyDescent="0.3">
      <c r="B288" s="31" t="s">
        <v>551</v>
      </c>
    </row>
    <row r="289" spans="2:2" x14ac:dyDescent="0.3">
      <c r="B289" s="31" t="s">
        <v>532</v>
      </c>
    </row>
    <row r="290" spans="2:2" x14ac:dyDescent="0.3">
      <c r="B290" s="31" t="s">
        <v>496</v>
      </c>
    </row>
    <row r="291" spans="2:2" x14ac:dyDescent="0.3">
      <c r="B291" s="31" t="s">
        <v>523</v>
      </c>
    </row>
    <row r="292" spans="2:2" x14ac:dyDescent="0.3">
      <c r="B292" s="31" t="s">
        <v>524</v>
      </c>
    </row>
    <row r="293" spans="2:2" x14ac:dyDescent="0.3">
      <c r="B293" s="31" t="s">
        <v>525</v>
      </c>
    </row>
    <row r="294" spans="2:2" x14ac:dyDescent="0.3">
      <c r="B294" s="31" t="s">
        <v>526</v>
      </c>
    </row>
    <row r="295" spans="2:2" x14ac:dyDescent="0.3">
      <c r="B295" s="31" t="s">
        <v>527</v>
      </c>
    </row>
    <row r="296" spans="2:2" x14ac:dyDescent="0.3">
      <c r="B296" s="31" t="s">
        <v>501</v>
      </c>
    </row>
    <row r="297" spans="2:2" x14ac:dyDescent="0.3">
      <c r="B297" s="31" t="s">
        <v>547</v>
      </c>
    </row>
    <row r="298" spans="2:2" x14ac:dyDescent="0.3">
      <c r="B298" s="31" t="s">
        <v>502</v>
      </c>
    </row>
    <row r="299" spans="2:2" x14ac:dyDescent="0.3">
      <c r="B299" s="31" t="s">
        <v>535</v>
      </c>
    </row>
    <row r="300" spans="2:2" x14ac:dyDescent="0.3">
      <c r="B300" s="31" t="s">
        <v>556</v>
      </c>
    </row>
    <row r="301" spans="2:2" x14ac:dyDescent="0.3">
      <c r="B301" s="31" t="s">
        <v>542</v>
      </c>
    </row>
    <row r="302" spans="2:2" x14ac:dyDescent="0.3">
      <c r="B302" s="31" t="s">
        <v>503</v>
      </c>
    </row>
    <row r="303" spans="2:2" x14ac:dyDescent="0.3">
      <c r="B303" s="31" t="s">
        <v>541</v>
      </c>
    </row>
    <row r="304" spans="2:2" x14ac:dyDescent="0.3">
      <c r="B304" s="31" t="s">
        <v>534</v>
      </c>
    </row>
    <row r="305" spans="2:2" x14ac:dyDescent="0.3">
      <c r="B305" s="31" t="s">
        <v>533</v>
      </c>
    </row>
    <row r="306" spans="2:2" x14ac:dyDescent="0.3">
      <c r="B306" s="31" t="s">
        <v>554</v>
      </c>
    </row>
    <row r="307" spans="2:2" x14ac:dyDescent="0.3">
      <c r="B307" s="31" t="s">
        <v>540</v>
      </c>
    </row>
    <row r="308" spans="2:2" x14ac:dyDescent="0.3">
      <c r="B308" s="31" t="s">
        <v>494</v>
      </c>
    </row>
    <row r="309" spans="2:2" x14ac:dyDescent="0.3">
      <c r="B309" s="31" t="s">
        <v>489</v>
      </c>
    </row>
    <row r="310" spans="2:2" x14ac:dyDescent="0.3">
      <c r="B310" s="31" t="s">
        <v>487</v>
      </c>
    </row>
    <row r="311" spans="2:2" x14ac:dyDescent="0.3">
      <c r="B311" s="31" t="s">
        <v>488</v>
      </c>
    </row>
    <row r="312" spans="2:2" x14ac:dyDescent="0.3">
      <c r="B312" s="31" t="s">
        <v>537</v>
      </c>
    </row>
    <row r="313" spans="2:2" x14ac:dyDescent="0.3">
      <c r="B313" s="31" t="s">
        <v>538</v>
      </c>
    </row>
    <row r="314" spans="2:2" x14ac:dyDescent="0.3">
      <c r="B314" s="31" t="s">
        <v>539</v>
      </c>
    </row>
    <row r="315" spans="2:2" x14ac:dyDescent="0.3">
      <c r="B315" s="31" t="s">
        <v>536</v>
      </c>
    </row>
    <row r="316" spans="2:2" x14ac:dyDescent="0.3">
      <c r="B316" s="31" t="s">
        <v>555</v>
      </c>
    </row>
    <row r="317" spans="2:2" x14ac:dyDescent="0.3">
      <c r="B317" s="32"/>
    </row>
    <row r="318" spans="2:2" x14ac:dyDescent="0.3">
      <c r="B318" s="26" t="s">
        <v>394</v>
      </c>
    </row>
    <row r="319" spans="2:2" x14ac:dyDescent="0.3">
      <c r="B319" s="31" t="s">
        <v>10</v>
      </c>
    </row>
    <row r="320" spans="2:2" x14ac:dyDescent="0.3">
      <c r="B320" s="31" t="s">
        <v>271</v>
      </c>
    </row>
    <row r="321" spans="2:2" x14ac:dyDescent="0.3">
      <c r="B321" s="31" t="s">
        <v>252</v>
      </c>
    </row>
    <row r="322" spans="2:2" x14ac:dyDescent="0.3">
      <c r="B322" s="31" t="s">
        <v>11</v>
      </c>
    </row>
    <row r="323" spans="2:2" x14ac:dyDescent="0.3">
      <c r="B323" s="31" t="s">
        <v>13</v>
      </c>
    </row>
    <row r="324" spans="2:2" x14ac:dyDescent="0.3">
      <c r="B324" s="31" t="s">
        <v>22</v>
      </c>
    </row>
    <row r="325" spans="2:2" x14ac:dyDescent="0.3">
      <c r="B325" s="31" t="s">
        <v>26</v>
      </c>
    </row>
    <row r="326" spans="2:2" x14ac:dyDescent="0.3">
      <c r="B326" s="31" t="s">
        <v>27</v>
      </c>
    </row>
    <row r="327" spans="2:2" x14ac:dyDescent="0.3">
      <c r="B327" s="31" t="s">
        <v>29</v>
      </c>
    </row>
    <row r="328" spans="2:2" x14ac:dyDescent="0.3">
      <c r="B328" s="31" t="s">
        <v>30</v>
      </c>
    </row>
    <row r="329" spans="2:2" x14ac:dyDescent="0.3">
      <c r="B329" s="31" t="s">
        <v>31</v>
      </c>
    </row>
    <row r="330" spans="2:2" x14ac:dyDescent="0.3">
      <c r="B330" s="31" t="s">
        <v>32</v>
      </c>
    </row>
    <row r="331" spans="2:2" x14ac:dyDescent="0.3">
      <c r="B331" s="31" t="s">
        <v>35</v>
      </c>
    </row>
    <row r="332" spans="2:2" x14ac:dyDescent="0.3">
      <c r="B332" s="31" t="s">
        <v>50</v>
      </c>
    </row>
    <row r="333" spans="2:2" x14ac:dyDescent="0.3">
      <c r="B333" s="31" t="s">
        <v>51</v>
      </c>
    </row>
    <row r="334" spans="2:2" x14ac:dyDescent="0.3">
      <c r="B334" s="31" t="s">
        <v>58</v>
      </c>
    </row>
    <row r="335" spans="2:2" x14ac:dyDescent="0.3">
      <c r="B335" s="31" t="s">
        <v>64</v>
      </c>
    </row>
    <row r="336" spans="2:2" x14ac:dyDescent="0.3">
      <c r="B336" s="31" t="s">
        <v>98</v>
      </c>
    </row>
    <row r="337" spans="2:2" x14ac:dyDescent="0.3">
      <c r="B337" s="31" t="s">
        <v>102</v>
      </c>
    </row>
    <row r="338" spans="2:2" x14ac:dyDescent="0.3">
      <c r="B338" s="31" t="s">
        <v>104</v>
      </c>
    </row>
    <row r="339" spans="2:2" x14ac:dyDescent="0.3">
      <c r="B339" s="31" t="s">
        <v>109</v>
      </c>
    </row>
    <row r="340" spans="2:2" x14ac:dyDescent="0.3">
      <c r="B340" s="31" t="s">
        <v>110</v>
      </c>
    </row>
    <row r="341" spans="2:2" x14ac:dyDescent="0.3">
      <c r="B341" s="31" t="s">
        <v>111</v>
      </c>
    </row>
    <row r="342" spans="2:2" x14ac:dyDescent="0.3">
      <c r="B342" s="31" t="s">
        <v>132</v>
      </c>
    </row>
    <row r="343" spans="2:2" x14ac:dyDescent="0.3">
      <c r="B343" s="31" t="s">
        <v>136</v>
      </c>
    </row>
    <row r="344" spans="2:2" x14ac:dyDescent="0.3">
      <c r="B344" s="31" t="s">
        <v>137</v>
      </c>
    </row>
    <row r="345" spans="2:2" x14ac:dyDescent="0.3">
      <c r="B345" s="31" t="s">
        <v>138</v>
      </c>
    </row>
    <row r="346" spans="2:2" x14ac:dyDescent="0.3">
      <c r="B346" s="31" t="s">
        <v>144</v>
      </c>
    </row>
    <row r="347" spans="2:2" x14ac:dyDescent="0.3">
      <c r="B347" s="31" t="s">
        <v>262</v>
      </c>
    </row>
    <row r="348" spans="2:2" x14ac:dyDescent="0.3">
      <c r="B348" s="31" t="s">
        <v>172</v>
      </c>
    </row>
    <row r="349" spans="2:2" x14ac:dyDescent="0.3">
      <c r="B349" s="31" t="s">
        <v>176</v>
      </c>
    </row>
    <row r="350" spans="2:2" x14ac:dyDescent="0.3">
      <c r="B350" s="31" t="s">
        <v>177</v>
      </c>
    </row>
    <row r="351" spans="2:2" x14ac:dyDescent="0.3">
      <c r="B351" s="31" t="s">
        <v>278</v>
      </c>
    </row>
    <row r="352" spans="2:2" x14ac:dyDescent="0.3">
      <c r="B352" s="31" t="s">
        <v>279</v>
      </c>
    </row>
    <row r="353" spans="2:2" x14ac:dyDescent="0.3">
      <c r="B353" s="31" t="s">
        <v>442</v>
      </c>
    </row>
    <row r="354" spans="2:2" x14ac:dyDescent="0.3">
      <c r="B354" s="31" t="s">
        <v>443</v>
      </c>
    </row>
    <row r="355" spans="2:2" x14ac:dyDescent="0.3">
      <c r="B355" s="31" t="s">
        <v>424</v>
      </c>
    </row>
    <row r="356" spans="2:2" x14ac:dyDescent="0.3">
      <c r="B356" s="31" t="s">
        <v>425</v>
      </c>
    </row>
    <row r="357" spans="2:2" x14ac:dyDescent="0.3">
      <c r="B357" s="31" t="s">
        <v>426</v>
      </c>
    </row>
    <row r="358" spans="2:2" x14ac:dyDescent="0.3">
      <c r="B358" s="31" t="s">
        <v>427</v>
      </c>
    </row>
    <row r="359" spans="2:2" x14ac:dyDescent="0.3">
      <c r="B359" s="31" t="s">
        <v>423</v>
      </c>
    </row>
    <row r="360" spans="2:2" x14ac:dyDescent="0.3">
      <c r="B360" s="31" t="s">
        <v>428</v>
      </c>
    </row>
    <row r="361" spans="2:2" x14ac:dyDescent="0.3">
      <c r="B361" s="31" t="s">
        <v>429</v>
      </c>
    </row>
    <row r="362" spans="2:2" x14ac:dyDescent="0.3">
      <c r="B362" s="31" t="s">
        <v>432</v>
      </c>
    </row>
    <row r="363" spans="2:2" x14ac:dyDescent="0.3">
      <c r="B363" s="31" t="s">
        <v>433</v>
      </c>
    </row>
    <row r="364" spans="2:2" x14ac:dyDescent="0.3">
      <c r="B364" s="31" t="s">
        <v>430</v>
      </c>
    </row>
    <row r="365" spans="2:2" x14ac:dyDescent="0.3">
      <c r="B365" s="31" t="s">
        <v>431</v>
      </c>
    </row>
    <row r="366" spans="2:2" x14ac:dyDescent="0.3">
      <c r="B366" s="31" t="s">
        <v>434</v>
      </c>
    </row>
    <row r="367" spans="2:2" x14ac:dyDescent="0.3">
      <c r="B367" s="31" t="s">
        <v>435</v>
      </c>
    </row>
    <row r="368" spans="2:2" x14ac:dyDescent="0.3">
      <c r="B368" s="31" t="s">
        <v>452</v>
      </c>
    </row>
    <row r="369" spans="2:2" x14ac:dyDescent="0.3">
      <c r="B369" s="31" t="s">
        <v>436</v>
      </c>
    </row>
    <row r="370" spans="2:2" x14ac:dyDescent="0.3">
      <c r="B370" s="31" t="s">
        <v>437</v>
      </c>
    </row>
    <row r="371" spans="2:2" x14ac:dyDescent="0.3">
      <c r="B371" s="31" t="s">
        <v>438</v>
      </c>
    </row>
    <row r="372" spans="2:2" x14ac:dyDescent="0.3">
      <c r="B372" s="31" t="s">
        <v>439</v>
      </c>
    </row>
    <row r="373" spans="2:2" x14ac:dyDescent="0.3">
      <c r="B373" s="31" t="s">
        <v>440</v>
      </c>
    </row>
    <row r="374" spans="2:2" x14ac:dyDescent="0.3">
      <c r="B374" s="31" t="s">
        <v>441</v>
      </c>
    </row>
    <row r="375" spans="2:2" x14ac:dyDescent="0.3">
      <c r="B375" s="31" t="s">
        <v>417</v>
      </c>
    </row>
    <row r="376" spans="2:2" x14ac:dyDescent="0.3">
      <c r="B376" s="31" t="s">
        <v>418</v>
      </c>
    </row>
    <row r="377" spans="2:2" x14ac:dyDescent="0.3">
      <c r="B377" s="31" t="s">
        <v>419</v>
      </c>
    </row>
    <row r="378" spans="2:2" x14ac:dyDescent="0.3">
      <c r="B378" s="31" t="s">
        <v>420</v>
      </c>
    </row>
    <row r="379" spans="2:2" x14ac:dyDescent="0.3">
      <c r="B379" s="31" t="s">
        <v>421</v>
      </c>
    </row>
    <row r="380" spans="2:2" x14ac:dyDescent="0.3">
      <c r="B380" s="31" t="s">
        <v>422</v>
      </c>
    </row>
    <row r="381" spans="2:2" x14ac:dyDescent="0.3">
      <c r="B381" s="31" t="s">
        <v>415</v>
      </c>
    </row>
    <row r="382" spans="2:2" x14ac:dyDescent="0.3">
      <c r="B382" s="31" t="s">
        <v>416</v>
      </c>
    </row>
    <row r="383" spans="2:2" x14ac:dyDescent="0.3">
      <c r="B383" s="31" t="s">
        <v>444</v>
      </c>
    </row>
    <row r="384" spans="2:2" x14ac:dyDescent="0.3">
      <c r="B384" s="31" t="s">
        <v>450</v>
      </c>
    </row>
    <row r="385" spans="2:2" x14ac:dyDescent="0.3">
      <c r="B385" s="31" t="s">
        <v>445</v>
      </c>
    </row>
    <row r="386" spans="2:2" x14ac:dyDescent="0.3">
      <c r="B386" s="31" t="s">
        <v>451</v>
      </c>
    </row>
    <row r="387" spans="2:2" x14ac:dyDescent="0.3">
      <c r="B387" s="32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37D7-FB1E-4114-BD58-6E37D744D5B8}">
  <dimension ref="B1:H46"/>
  <sheetViews>
    <sheetView workbookViewId="0"/>
  </sheetViews>
  <sheetFormatPr defaultRowHeight="14.4" x14ac:dyDescent="0.3"/>
  <cols>
    <col min="1" max="1" width="2.77734375" style="27" customWidth="1"/>
    <col min="2" max="2" width="76.88671875" style="27" bestFit="1" customWidth="1"/>
    <col min="3" max="3" width="139.33203125" style="27" bestFit="1" customWidth="1"/>
    <col min="4" max="4" width="42.77734375" style="27" bestFit="1" customWidth="1"/>
    <col min="5" max="6" width="8.88671875" style="27"/>
    <col min="7" max="7" width="11.6640625" style="27" bestFit="1" customWidth="1"/>
    <col min="8" max="8" width="72.33203125" style="27" bestFit="1" customWidth="1"/>
    <col min="9" max="16384" width="8.88671875" style="27"/>
  </cols>
  <sheetData>
    <row r="1" spans="2:8" ht="15" customHeight="1" x14ac:dyDescent="0.3"/>
    <row r="2" spans="2:8" x14ac:dyDescent="0.3">
      <c r="B2" s="24" t="s">
        <v>314</v>
      </c>
      <c r="C2" s="24" t="s">
        <v>313</v>
      </c>
      <c r="D2" s="24" t="s">
        <v>531</v>
      </c>
      <c r="E2" s="24" t="s">
        <v>315</v>
      </c>
      <c r="F2" s="24" t="s">
        <v>186</v>
      </c>
      <c r="G2" s="24" t="s">
        <v>316</v>
      </c>
      <c r="H2" s="24" t="s">
        <v>377</v>
      </c>
    </row>
    <row r="3" spans="2:8" x14ac:dyDescent="0.3">
      <c r="B3" s="33" t="s">
        <v>327</v>
      </c>
      <c r="C3" s="33" t="s">
        <v>328</v>
      </c>
      <c r="D3" s="33" t="s">
        <v>329</v>
      </c>
      <c r="E3" s="33">
        <v>1967</v>
      </c>
      <c r="F3" s="33">
        <v>32</v>
      </c>
      <c r="G3" s="33" t="s">
        <v>331</v>
      </c>
      <c r="H3" s="35" t="s">
        <v>330</v>
      </c>
    </row>
    <row r="4" spans="2:8" x14ac:dyDescent="0.3">
      <c r="B4" s="31" t="s">
        <v>333</v>
      </c>
      <c r="C4" s="31" t="s">
        <v>332</v>
      </c>
      <c r="D4" s="31" t="s">
        <v>336</v>
      </c>
      <c r="E4" s="31">
        <v>1971</v>
      </c>
      <c r="F4" s="31">
        <v>19</v>
      </c>
      <c r="G4" s="31" t="s">
        <v>335</v>
      </c>
      <c r="H4" s="36" t="s">
        <v>334</v>
      </c>
    </row>
    <row r="5" spans="2:8" x14ac:dyDescent="0.3">
      <c r="B5" s="31" t="s">
        <v>337</v>
      </c>
      <c r="C5" s="31" t="s">
        <v>338</v>
      </c>
      <c r="D5" s="31" t="s">
        <v>329</v>
      </c>
      <c r="E5" s="31">
        <v>1971</v>
      </c>
      <c r="F5" s="31">
        <v>36</v>
      </c>
      <c r="G5" s="31" t="s">
        <v>339</v>
      </c>
      <c r="H5" s="36" t="s">
        <v>340</v>
      </c>
    </row>
    <row r="6" spans="2:8" x14ac:dyDescent="0.3">
      <c r="B6" s="31" t="s">
        <v>610</v>
      </c>
      <c r="C6" s="31" t="s">
        <v>611</v>
      </c>
      <c r="D6" s="31" t="s">
        <v>612</v>
      </c>
      <c r="E6" s="31">
        <v>1981</v>
      </c>
      <c r="F6" s="31">
        <v>26</v>
      </c>
      <c r="G6" s="31" t="s">
        <v>613</v>
      </c>
      <c r="H6" s="36" t="s">
        <v>614</v>
      </c>
    </row>
    <row r="7" spans="2:8" x14ac:dyDescent="0.3">
      <c r="B7" s="31" t="s">
        <v>583</v>
      </c>
      <c r="C7" s="31" t="s">
        <v>584</v>
      </c>
      <c r="D7" s="31" t="s">
        <v>585</v>
      </c>
      <c r="E7" s="31">
        <v>1986</v>
      </c>
      <c r="F7" s="31">
        <v>27</v>
      </c>
      <c r="G7" s="31" t="s">
        <v>586</v>
      </c>
      <c r="H7" s="36" t="s">
        <v>587</v>
      </c>
    </row>
    <row r="8" spans="2:8" x14ac:dyDescent="0.3">
      <c r="B8" s="31" t="s">
        <v>342</v>
      </c>
      <c r="C8" s="31" t="s">
        <v>341</v>
      </c>
      <c r="D8" s="31" t="s">
        <v>344</v>
      </c>
      <c r="E8" s="31">
        <v>1988</v>
      </c>
      <c r="F8" s="31"/>
      <c r="G8" s="31" t="s">
        <v>345</v>
      </c>
      <c r="H8" s="36" t="s">
        <v>343</v>
      </c>
    </row>
    <row r="9" spans="2:8" x14ac:dyDescent="0.3">
      <c r="B9" s="31" t="s">
        <v>389</v>
      </c>
      <c r="C9" s="31" t="s">
        <v>390</v>
      </c>
      <c r="D9" s="31" t="s">
        <v>386</v>
      </c>
      <c r="E9" s="31">
        <v>1988</v>
      </c>
      <c r="F9" s="31">
        <v>27</v>
      </c>
      <c r="G9" s="31" t="s">
        <v>391</v>
      </c>
      <c r="H9" s="36" t="s">
        <v>392</v>
      </c>
    </row>
    <row r="10" spans="2:8" x14ac:dyDescent="0.3">
      <c r="B10" s="31" t="s">
        <v>578</v>
      </c>
      <c r="C10" s="31" t="s">
        <v>579</v>
      </c>
      <c r="D10" s="31" t="s">
        <v>580</v>
      </c>
      <c r="E10" s="31">
        <v>1989</v>
      </c>
      <c r="F10" s="31">
        <v>2</v>
      </c>
      <c r="G10" s="31" t="s">
        <v>581</v>
      </c>
      <c r="H10" s="36" t="s">
        <v>582</v>
      </c>
    </row>
    <row r="11" spans="2:8" x14ac:dyDescent="0.3">
      <c r="B11" s="31" t="s">
        <v>370</v>
      </c>
      <c r="C11" s="31" t="s">
        <v>371</v>
      </c>
      <c r="D11" s="31" t="s">
        <v>374</v>
      </c>
      <c r="E11" s="31">
        <v>1990</v>
      </c>
      <c r="F11" s="31">
        <v>6</v>
      </c>
      <c r="G11" s="31" t="s">
        <v>373</v>
      </c>
      <c r="H11" s="36" t="s">
        <v>372</v>
      </c>
    </row>
    <row r="12" spans="2:8" x14ac:dyDescent="0.3">
      <c r="B12" s="31" t="s">
        <v>327</v>
      </c>
      <c r="C12" s="31" t="s">
        <v>732</v>
      </c>
      <c r="D12" s="31" t="s">
        <v>612</v>
      </c>
      <c r="E12" s="31">
        <v>1991</v>
      </c>
      <c r="F12" s="31">
        <v>49</v>
      </c>
      <c r="G12" s="31" t="s">
        <v>733</v>
      </c>
      <c r="H12" s="36" t="s">
        <v>734</v>
      </c>
    </row>
    <row r="13" spans="2:8" x14ac:dyDescent="0.3">
      <c r="B13" s="31" t="s">
        <v>672</v>
      </c>
      <c r="C13" s="31" t="s">
        <v>673</v>
      </c>
      <c r="D13" s="31" t="s">
        <v>674</v>
      </c>
      <c r="E13" s="31">
        <v>1994</v>
      </c>
      <c r="F13" s="31">
        <v>58</v>
      </c>
      <c r="G13" s="31" t="s">
        <v>675</v>
      </c>
      <c r="H13" s="36" t="s">
        <v>676</v>
      </c>
    </row>
    <row r="14" spans="2:8" x14ac:dyDescent="0.3">
      <c r="B14" s="31" t="s">
        <v>615</v>
      </c>
      <c r="C14" s="31" t="s">
        <v>616</v>
      </c>
      <c r="D14" s="31"/>
      <c r="E14" s="31">
        <v>1994</v>
      </c>
      <c r="F14" s="31">
        <v>266</v>
      </c>
      <c r="G14" s="31" t="s">
        <v>618</v>
      </c>
      <c r="H14" s="36" t="s">
        <v>617</v>
      </c>
    </row>
    <row r="15" spans="2:8" x14ac:dyDescent="0.3">
      <c r="B15" s="31" t="s">
        <v>735</v>
      </c>
      <c r="C15" s="31" t="s">
        <v>736</v>
      </c>
      <c r="D15" s="31" t="s">
        <v>737</v>
      </c>
      <c r="E15" s="31">
        <v>1995</v>
      </c>
      <c r="F15" s="31">
        <v>37</v>
      </c>
      <c r="G15" s="31" t="s">
        <v>738</v>
      </c>
      <c r="H15" s="36" t="s">
        <v>739</v>
      </c>
    </row>
    <row r="16" spans="2:8" x14ac:dyDescent="0.3">
      <c r="B16" s="31" t="s">
        <v>543</v>
      </c>
      <c r="C16" s="31" t="s">
        <v>598</v>
      </c>
      <c r="D16" s="31" t="s">
        <v>544</v>
      </c>
      <c r="E16" s="31">
        <v>1996</v>
      </c>
      <c r="F16" s="31">
        <v>29</v>
      </c>
      <c r="G16" s="31" t="s">
        <v>545</v>
      </c>
      <c r="H16" s="36" t="s">
        <v>546</v>
      </c>
    </row>
    <row r="17" spans="2:8" x14ac:dyDescent="0.3">
      <c r="B17" s="31" t="s">
        <v>599</v>
      </c>
      <c r="C17" s="31" t="s">
        <v>600</v>
      </c>
      <c r="D17" s="31" t="s">
        <v>601</v>
      </c>
      <c r="E17" s="31">
        <v>1998</v>
      </c>
      <c r="F17" s="31">
        <v>75</v>
      </c>
      <c r="G17" s="42" t="s">
        <v>602</v>
      </c>
      <c r="H17" s="36" t="s">
        <v>603</v>
      </c>
    </row>
    <row r="18" spans="2:8" x14ac:dyDescent="0.3">
      <c r="B18" s="31" t="s">
        <v>321</v>
      </c>
      <c r="C18" s="31" t="s">
        <v>322</v>
      </c>
      <c r="D18" s="31" t="s">
        <v>323</v>
      </c>
      <c r="E18" s="31">
        <v>2000</v>
      </c>
      <c r="F18" s="31">
        <v>130</v>
      </c>
      <c r="G18" s="31" t="s">
        <v>326</v>
      </c>
      <c r="H18" s="36" t="s">
        <v>325</v>
      </c>
    </row>
    <row r="19" spans="2:8" x14ac:dyDescent="0.3">
      <c r="B19" s="31" t="s">
        <v>593</v>
      </c>
      <c r="C19" s="31" t="s">
        <v>594</v>
      </c>
      <c r="D19" s="31" t="s">
        <v>595</v>
      </c>
      <c r="E19" s="31">
        <v>2001</v>
      </c>
      <c r="F19" s="31">
        <v>213</v>
      </c>
      <c r="G19" s="31" t="s">
        <v>596</v>
      </c>
      <c r="H19" s="36" t="s">
        <v>597</v>
      </c>
    </row>
    <row r="20" spans="2:8" x14ac:dyDescent="0.3">
      <c r="B20" s="31" t="s">
        <v>317</v>
      </c>
      <c r="C20" s="31" t="s">
        <v>318</v>
      </c>
      <c r="D20" s="31" t="s">
        <v>319</v>
      </c>
      <c r="E20" s="31">
        <v>2002</v>
      </c>
      <c r="F20" s="31">
        <v>27</v>
      </c>
      <c r="G20" s="31" t="s">
        <v>320</v>
      </c>
      <c r="H20" s="36" t="s">
        <v>324</v>
      </c>
    </row>
    <row r="21" spans="2:8" x14ac:dyDescent="0.3">
      <c r="B21" s="31" t="s">
        <v>528</v>
      </c>
      <c r="C21" s="31" t="s">
        <v>489</v>
      </c>
      <c r="D21" s="31" t="s">
        <v>530</v>
      </c>
      <c r="E21" s="31">
        <v>2006</v>
      </c>
      <c r="F21" s="31"/>
      <c r="G21" s="41" t="s">
        <v>575</v>
      </c>
      <c r="H21" s="36" t="s">
        <v>529</v>
      </c>
    </row>
    <row r="22" spans="2:8" x14ac:dyDescent="0.3">
      <c r="B22" s="31" t="s">
        <v>384</v>
      </c>
      <c r="C22" s="31" t="s">
        <v>385</v>
      </c>
      <c r="D22" s="31" t="s">
        <v>386</v>
      </c>
      <c r="E22" s="31">
        <v>2007</v>
      </c>
      <c r="F22" s="31">
        <v>104</v>
      </c>
      <c r="G22" s="31" t="s">
        <v>387</v>
      </c>
      <c r="H22" s="36" t="s">
        <v>388</v>
      </c>
    </row>
    <row r="23" spans="2:8" x14ac:dyDescent="0.3">
      <c r="B23" s="31" t="s">
        <v>446</v>
      </c>
      <c r="C23" s="31" t="s">
        <v>447</v>
      </c>
      <c r="D23" s="31" t="s">
        <v>348</v>
      </c>
      <c r="E23" s="31">
        <v>2007</v>
      </c>
      <c r="F23" s="31">
        <v>55</v>
      </c>
      <c r="G23" s="31" t="s">
        <v>448</v>
      </c>
      <c r="H23" s="36" t="s">
        <v>449</v>
      </c>
    </row>
    <row r="24" spans="2:8" x14ac:dyDescent="0.3">
      <c r="B24" s="31" t="s">
        <v>379</v>
      </c>
      <c r="C24" s="31" t="s">
        <v>380</v>
      </c>
      <c r="D24" s="31" t="s">
        <v>381</v>
      </c>
      <c r="E24" s="31">
        <v>2009</v>
      </c>
      <c r="F24" s="31">
        <v>26</v>
      </c>
      <c r="G24" s="31" t="s">
        <v>382</v>
      </c>
      <c r="H24" s="36" t="s">
        <v>383</v>
      </c>
    </row>
    <row r="25" spans="2:8" x14ac:dyDescent="0.3">
      <c r="B25" s="31" t="s">
        <v>588</v>
      </c>
      <c r="C25" s="31" t="s">
        <v>589</v>
      </c>
      <c r="D25" s="31" t="s">
        <v>590</v>
      </c>
      <c r="E25" s="31">
        <v>1992</v>
      </c>
      <c r="F25" s="31">
        <v>17</v>
      </c>
      <c r="G25" s="31" t="s">
        <v>591</v>
      </c>
      <c r="H25" s="36" t="s">
        <v>592</v>
      </c>
    </row>
    <row r="26" spans="2:8" x14ac:dyDescent="0.3">
      <c r="B26" s="31" t="s">
        <v>346</v>
      </c>
      <c r="C26" s="31" t="s">
        <v>347</v>
      </c>
      <c r="D26" s="31" t="s">
        <v>348</v>
      </c>
      <c r="E26" s="31">
        <v>2011</v>
      </c>
      <c r="F26" s="31">
        <v>59</v>
      </c>
      <c r="G26" s="31" t="s">
        <v>349</v>
      </c>
      <c r="H26" s="36" t="s">
        <v>350</v>
      </c>
    </row>
    <row r="27" spans="2:8" x14ac:dyDescent="0.3">
      <c r="B27" s="31" t="s">
        <v>714</v>
      </c>
      <c r="C27" s="31" t="s">
        <v>715</v>
      </c>
      <c r="D27" s="31" t="s">
        <v>716</v>
      </c>
      <c r="E27" s="31">
        <v>2012</v>
      </c>
      <c r="F27" s="31">
        <v>7</v>
      </c>
      <c r="G27" s="31" t="s">
        <v>718</v>
      </c>
      <c r="H27" s="36" t="s">
        <v>717</v>
      </c>
    </row>
    <row r="28" spans="2:8" x14ac:dyDescent="0.3">
      <c r="B28" s="31" t="s">
        <v>694</v>
      </c>
      <c r="C28" s="31" t="s">
        <v>695</v>
      </c>
      <c r="D28" s="31" t="s">
        <v>386</v>
      </c>
      <c r="E28" s="31">
        <v>2012</v>
      </c>
      <c r="F28" s="31">
        <v>134</v>
      </c>
      <c r="G28" s="31" t="s">
        <v>696</v>
      </c>
      <c r="H28" s="36" t="s">
        <v>697</v>
      </c>
    </row>
    <row r="29" spans="2:8" x14ac:dyDescent="0.3">
      <c r="B29" s="31" t="s">
        <v>678</v>
      </c>
      <c r="C29" s="31" t="s">
        <v>679</v>
      </c>
      <c r="D29" s="31" t="s">
        <v>348</v>
      </c>
      <c r="E29" s="31">
        <v>2012</v>
      </c>
      <c r="F29" s="31">
        <v>60</v>
      </c>
      <c r="G29" s="31" t="s">
        <v>680</v>
      </c>
      <c r="H29" s="36" t="s">
        <v>681</v>
      </c>
    </row>
    <row r="30" spans="2:8" x14ac:dyDescent="0.3">
      <c r="B30" s="31" t="s">
        <v>678</v>
      </c>
      <c r="C30" s="31" t="s">
        <v>682</v>
      </c>
      <c r="D30" s="31" t="s">
        <v>386</v>
      </c>
      <c r="E30" s="31">
        <v>2013</v>
      </c>
      <c r="F30" s="31">
        <v>141</v>
      </c>
      <c r="G30" s="31" t="s">
        <v>683</v>
      </c>
      <c r="H30" s="36" t="s">
        <v>684</v>
      </c>
    </row>
    <row r="31" spans="2:8" x14ac:dyDescent="0.3">
      <c r="B31" s="31" t="s">
        <v>351</v>
      </c>
      <c r="C31" s="31" t="s">
        <v>352</v>
      </c>
      <c r="D31" s="31" t="s">
        <v>348</v>
      </c>
      <c r="E31" s="31">
        <v>2014</v>
      </c>
      <c r="F31" s="31">
        <v>62</v>
      </c>
      <c r="G31" s="31" t="s">
        <v>354</v>
      </c>
      <c r="H31" s="36" t="s">
        <v>353</v>
      </c>
    </row>
    <row r="32" spans="2:8" x14ac:dyDescent="0.3">
      <c r="B32" s="31" t="s">
        <v>685</v>
      </c>
      <c r="C32" s="31" t="s">
        <v>686</v>
      </c>
      <c r="D32" s="31" t="s">
        <v>687</v>
      </c>
      <c r="E32" s="31">
        <v>2015</v>
      </c>
      <c r="F32" s="31">
        <v>120</v>
      </c>
      <c r="G32" s="31" t="s">
        <v>688</v>
      </c>
      <c r="H32" s="36" t="s">
        <v>689</v>
      </c>
    </row>
    <row r="33" spans="2:8" x14ac:dyDescent="0.3">
      <c r="B33" s="31" t="s">
        <v>360</v>
      </c>
      <c r="C33" s="31" t="s">
        <v>361</v>
      </c>
      <c r="D33" s="31" t="s">
        <v>362</v>
      </c>
      <c r="E33" s="31">
        <v>2015</v>
      </c>
      <c r="F33" s="31">
        <v>2015</v>
      </c>
      <c r="G33" s="34" t="s">
        <v>364</v>
      </c>
      <c r="H33" s="36" t="s">
        <v>363</v>
      </c>
    </row>
    <row r="34" spans="2:8" x14ac:dyDescent="0.3">
      <c r="B34" s="31" t="s">
        <v>719</v>
      </c>
      <c r="C34" s="31" t="s">
        <v>720</v>
      </c>
      <c r="D34" s="31" t="s">
        <v>721</v>
      </c>
      <c r="E34" s="31">
        <v>2015</v>
      </c>
      <c r="F34" s="31">
        <v>4</v>
      </c>
      <c r="G34" s="34"/>
      <c r="H34" s="36" t="s">
        <v>722</v>
      </c>
    </row>
    <row r="35" spans="2:8" x14ac:dyDescent="0.3">
      <c r="B35" s="31" t="s">
        <v>410</v>
      </c>
      <c r="C35" s="31" t="s">
        <v>411</v>
      </c>
      <c r="D35" s="31" t="s">
        <v>412</v>
      </c>
      <c r="E35" s="31">
        <v>2016</v>
      </c>
      <c r="F35" s="31">
        <v>7</v>
      </c>
      <c r="G35" s="34" t="s">
        <v>413</v>
      </c>
      <c r="H35" s="36" t="s">
        <v>414</v>
      </c>
    </row>
    <row r="36" spans="2:8" x14ac:dyDescent="0.3">
      <c r="B36" s="31" t="s">
        <v>658</v>
      </c>
      <c r="C36" s="31" t="s">
        <v>659</v>
      </c>
      <c r="D36" s="31" t="s">
        <v>319</v>
      </c>
      <c r="E36" s="31">
        <v>2016</v>
      </c>
      <c r="F36" s="31">
        <v>41</v>
      </c>
      <c r="G36" s="34" t="s">
        <v>660</v>
      </c>
      <c r="H36" s="36" t="s">
        <v>661</v>
      </c>
    </row>
    <row r="37" spans="2:8" x14ac:dyDescent="0.3">
      <c r="B37" s="31" t="s">
        <v>473</v>
      </c>
      <c r="C37" s="31" t="s">
        <v>474</v>
      </c>
      <c r="D37" s="31" t="s">
        <v>475</v>
      </c>
      <c r="E37" s="31">
        <v>2017</v>
      </c>
      <c r="F37" s="31">
        <v>7</v>
      </c>
      <c r="G37" s="34" t="s">
        <v>364</v>
      </c>
      <c r="H37" s="36" t="s">
        <v>476</v>
      </c>
    </row>
    <row r="38" spans="2:8" x14ac:dyDescent="0.3">
      <c r="B38" s="31" t="s">
        <v>355</v>
      </c>
      <c r="C38" s="31" t="s">
        <v>356</v>
      </c>
      <c r="D38" s="31" t="s">
        <v>357</v>
      </c>
      <c r="E38" s="31">
        <v>2018</v>
      </c>
      <c r="F38" s="31">
        <v>23</v>
      </c>
      <c r="G38" s="34" t="s">
        <v>359</v>
      </c>
      <c r="H38" s="36" t="s">
        <v>358</v>
      </c>
    </row>
    <row r="39" spans="2:8" x14ac:dyDescent="0.3">
      <c r="B39" s="31" t="s">
        <v>365</v>
      </c>
      <c r="C39" s="31" t="s">
        <v>366</v>
      </c>
      <c r="D39" s="31" t="s">
        <v>367</v>
      </c>
      <c r="E39" s="31">
        <v>2019</v>
      </c>
      <c r="F39" s="31">
        <v>31</v>
      </c>
      <c r="G39" s="31" t="s">
        <v>368</v>
      </c>
      <c r="H39" s="36" t="s">
        <v>369</v>
      </c>
    </row>
    <row r="40" spans="2:8" x14ac:dyDescent="0.3">
      <c r="B40" s="31" t="s">
        <v>570</v>
      </c>
      <c r="C40" s="31" t="s">
        <v>571</v>
      </c>
      <c r="D40" s="31" t="s">
        <v>572</v>
      </c>
      <c r="E40" s="31">
        <v>2019</v>
      </c>
      <c r="F40" s="31">
        <v>6</v>
      </c>
      <c r="G40" s="42" t="s">
        <v>573</v>
      </c>
      <c r="H40" s="36" t="s">
        <v>576</v>
      </c>
    </row>
    <row r="41" spans="2:8" x14ac:dyDescent="0.3">
      <c r="B41" s="31" t="s">
        <v>654</v>
      </c>
      <c r="C41" s="31" t="s">
        <v>655</v>
      </c>
      <c r="D41" s="31" t="s">
        <v>656</v>
      </c>
      <c r="E41" s="31">
        <v>2019</v>
      </c>
      <c r="F41" s="31"/>
      <c r="G41" s="42"/>
      <c r="H41" s="36" t="s">
        <v>657</v>
      </c>
    </row>
    <row r="42" spans="2:8" x14ac:dyDescent="0.3">
      <c r="B42" s="31" t="s">
        <v>690</v>
      </c>
      <c r="C42" s="31" t="s">
        <v>691</v>
      </c>
      <c r="D42" s="31" t="s">
        <v>580</v>
      </c>
      <c r="E42" s="31">
        <v>2020</v>
      </c>
      <c r="F42" s="31">
        <v>94</v>
      </c>
      <c r="G42" s="42" t="s">
        <v>692</v>
      </c>
      <c r="H42" s="36" t="s">
        <v>693</v>
      </c>
    </row>
    <row r="43" spans="2:8" x14ac:dyDescent="0.3">
      <c r="B43" s="31" t="s">
        <v>698</v>
      </c>
      <c r="C43" s="31" t="s">
        <v>699</v>
      </c>
      <c r="D43" s="31" t="s">
        <v>700</v>
      </c>
      <c r="E43" s="31">
        <v>2020</v>
      </c>
      <c r="F43" s="31">
        <v>103</v>
      </c>
      <c r="G43" s="42" t="s">
        <v>701</v>
      </c>
      <c r="H43" s="36" t="s">
        <v>702</v>
      </c>
    </row>
    <row r="44" spans="2:8" x14ac:dyDescent="0.3">
      <c r="B44" s="31" t="s">
        <v>566</v>
      </c>
      <c r="C44" s="31" t="s">
        <v>567</v>
      </c>
      <c r="D44" s="31" t="s">
        <v>568</v>
      </c>
      <c r="E44" s="31">
        <v>2021</v>
      </c>
      <c r="F44" s="31">
        <v>10</v>
      </c>
      <c r="G44" s="42" t="s">
        <v>574</v>
      </c>
      <c r="H44" s="36" t="s">
        <v>569</v>
      </c>
    </row>
    <row r="45" spans="2:8" x14ac:dyDescent="0.3">
      <c r="B45" s="31" t="s">
        <v>477</v>
      </c>
      <c r="C45" s="31" t="s">
        <v>478</v>
      </c>
      <c r="D45" s="31"/>
      <c r="E45" s="31"/>
      <c r="F45" s="31"/>
      <c r="G45" s="31"/>
      <c r="H45" s="36" t="s">
        <v>479</v>
      </c>
    </row>
    <row r="46" spans="2:8" x14ac:dyDescent="0.3">
      <c r="B46" s="32" t="s">
        <v>378</v>
      </c>
      <c r="C46" s="32" t="s">
        <v>375</v>
      </c>
      <c r="D46" s="32"/>
      <c r="E46" s="32"/>
      <c r="F46" s="32"/>
      <c r="G46" s="32"/>
      <c r="H46" s="37" t="s">
        <v>376</v>
      </c>
    </row>
  </sheetData>
  <hyperlinks>
    <hyperlink ref="H20" r:id="rId1" xr:uid="{A866AB82-5FDD-45CA-B6F3-0E8510FD42F9}"/>
    <hyperlink ref="H3" r:id="rId2" xr:uid="{654022C8-D602-4671-8D38-99284D54FE5A}"/>
    <hyperlink ref="H4" r:id="rId3" xr:uid="{8EF0B594-4157-45EB-B29D-F379A83C1A2E}"/>
    <hyperlink ref="H5" r:id="rId4" xr:uid="{7E6A06FA-C168-4A4C-BB30-40FB760FD6EF}"/>
    <hyperlink ref="H8" r:id="rId5" xr:uid="{2B70EF8B-7A7C-4B4C-81A5-8DFC53FCFF62}"/>
    <hyperlink ref="H26" r:id="rId6" tooltip="DOI URL" xr:uid="{A227B82F-8688-4DB5-864E-4ECD50B49DF8}"/>
    <hyperlink ref="H31" r:id="rId7" tooltip="DOI URL" xr:uid="{BBC25427-CD52-40A1-B701-097EE227FD5F}"/>
    <hyperlink ref="H38" r:id="rId8" xr:uid="{5C6ECD41-C997-4DD2-A11B-2ED188C2F7C0}"/>
    <hyperlink ref="H33" r:id="rId9" xr:uid="{FDB16175-3591-444A-AD4D-7589AB60AB0E}"/>
    <hyperlink ref="H11" r:id="rId10" xr:uid="{EE51945C-1F49-4687-919B-BF5203D02435}"/>
    <hyperlink ref="H24" r:id="rId11" xr:uid="{19EC050E-FE83-4FF0-AA28-49589EB86B4D}"/>
    <hyperlink ref="H22" r:id="rId12" tooltip="Persistent link using digital object identifier" xr:uid="{60EC5CD8-9E4B-498F-8940-998BDEBE83F9}"/>
    <hyperlink ref="H9" r:id="rId13" tooltip="Persistent link using digital object identifier" xr:uid="{59D11E2C-65DC-4A31-91A7-09A30A8C43C3}"/>
    <hyperlink ref="H35" r:id="rId14" tooltip="Persistent link using digital object identifier" xr:uid="{8AC055C3-64C4-480A-AD23-591BEC050C84}"/>
    <hyperlink ref="H23" r:id="rId15" tooltip="DOI URL" xr:uid="{B3E77285-BAFD-434F-90C8-BCAEC9A17E25}"/>
    <hyperlink ref="H21" r:id="rId16" xr:uid="{9C3E6472-2079-4B91-9FC4-27FA689BBAC0}"/>
    <hyperlink ref="H16" r:id="rId17" tooltip="Persistent link using digital object identifier" xr:uid="{362B43E1-CC14-49D4-AED8-B0C763AD0C80}"/>
    <hyperlink ref="H40" r:id="rId18" xr:uid="{B813C9A0-6AC6-4D11-BD6B-E5EE13B32E7F}"/>
    <hyperlink ref="H10" r:id="rId19" tooltip="Persistent link using digital object identifier" xr:uid="{AF8CB42C-EC59-4F77-9B18-308B163BA7D8}"/>
    <hyperlink ref="H7" r:id="rId20" xr:uid="{001B7F2F-B6C0-4E60-8ACB-4793179C6CCF}"/>
    <hyperlink ref="H25" r:id="rId21" xr:uid="{F52A6C1C-1673-4595-AFD5-143D5D6A6049}"/>
    <hyperlink ref="H17" r:id="rId22" tooltip="Persistent link using digital object identifier" xr:uid="{858A9A5B-EEE1-4372-BE4C-43E8225E81ED}"/>
    <hyperlink ref="H6" r:id="rId23" tooltip="Persistent link using digital object identifier" xr:uid="{A6614F9B-285F-4F07-AA09-8465E7B0160D}"/>
    <hyperlink ref="H14" r:id="rId24" xr:uid="{A15CE304-41C3-4AEF-A5C4-1B8EC910D06F}"/>
    <hyperlink ref="H36" r:id="rId25" xr:uid="{7D7A91C7-3F6B-4712-9CF3-F42CC71383DD}"/>
    <hyperlink ref="H13" r:id="rId26" xr:uid="{B4A1C8C3-D5D1-45FF-B04B-CE5BF95B37F0}"/>
    <hyperlink ref="H29" r:id="rId27" tooltip="DOI URL" xr:uid="{8CDE88E8-1EA8-4AA4-AEDB-EF05C9FD0935}"/>
    <hyperlink ref="H30" r:id="rId28" tooltip="Persistent link using digital object identifier" xr:uid="{3816CC04-ADCC-45C7-8FF8-0C7E109C703D}"/>
    <hyperlink ref="H32" r:id="rId29" tooltip="Persistent link using digital object identifier" xr:uid="{8C6D420E-D2F8-4728-B668-8B38D57D77F5}"/>
    <hyperlink ref="H42" r:id="rId30" tooltip="Persistent link using digital object identifier" xr:uid="{5B34E097-FDD3-4EE0-A0C0-BE426036D020}"/>
    <hyperlink ref="H28" r:id="rId31" tooltip="Persistent link using digital object identifier" xr:uid="{377CEA16-71C1-4D79-963D-960BACE5A48A}"/>
    <hyperlink ref="H43" r:id="rId32" tooltip="Persistent link using digital object identifier" xr:uid="{A3D03FAB-AF99-489C-BBC2-AACF732307A8}"/>
    <hyperlink ref="H27" r:id="rId33" xr:uid="{BEDCCC7F-F277-4BC4-A13F-72CB34D8CBEE}"/>
  </hyperlinks>
  <pageMargins left="0.7" right="0.7" top="0.75" bottom="0.75" header="0.3" footer="0.3"/>
  <pageSetup orientation="portrait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0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40.21875" bestFit="1" customWidth="1"/>
    <col min="2" max="2" width="19.33203125" bestFit="1" customWidth="1"/>
    <col min="3" max="3" width="18.6640625" bestFit="1" customWidth="1"/>
    <col min="4" max="4" width="19.109375" bestFit="1" customWidth="1"/>
    <col min="5" max="5" width="18.33203125" bestFit="1" customWidth="1"/>
    <col min="6" max="6" width="19.109375" bestFit="1" customWidth="1"/>
    <col min="7" max="7" width="13.5546875" bestFit="1" customWidth="1"/>
    <col min="8" max="8" width="16.6640625" bestFit="1" customWidth="1"/>
    <col min="9" max="9" width="17" bestFit="1" customWidth="1"/>
    <col min="10" max="10" width="19.21875" bestFit="1" customWidth="1"/>
    <col min="11" max="11" width="18.6640625" bestFit="1" customWidth="1"/>
    <col min="12" max="12" width="17.33203125" bestFit="1" customWidth="1"/>
    <col min="13" max="13" width="18.21875" bestFit="1" customWidth="1"/>
    <col min="14" max="14" width="16.77734375" bestFit="1" customWidth="1"/>
    <col min="15" max="15" width="18.6640625" bestFit="1" customWidth="1"/>
    <col min="16" max="16" width="17.33203125" bestFit="1" customWidth="1"/>
    <col min="17" max="17" width="20.21875" bestFit="1" customWidth="1"/>
    <col min="18" max="21" width="20.21875" customWidth="1"/>
    <col min="22" max="22" width="18.21875" bestFit="1" customWidth="1"/>
    <col min="23" max="23" width="17" bestFit="1" customWidth="1"/>
    <col min="24" max="24" width="18.33203125" bestFit="1" customWidth="1"/>
    <col min="25" max="25" width="15.6640625" bestFit="1" customWidth="1"/>
    <col min="26" max="26" width="18.21875" bestFit="1" customWidth="1"/>
    <col min="27" max="27" width="10.33203125" bestFit="1" customWidth="1"/>
    <col min="28" max="28" width="20.44140625" bestFit="1" customWidth="1"/>
    <col min="29" max="29" width="26.88671875" bestFit="1" customWidth="1"/>
    <col min="30" max="30" width="37.109375" bestFit="1" customWidth="1"/>
    <col min="31" max="31" width="19.77734375" bestFit="1" customWidth="1"/>
    <col min="32" max="32" width="21.88671875" bestFit="1" customWidth="1"/>
    <col min="33" max="33" width="19.77734375" bestFit="1" customWidth="1"/>
    <col min="34" max="34" width="19.6640625" bestFit="1" customWidth="1"/>
    <col min="35" max="35" width="19.21875" bestFit="1" customWidth="1"/>
    <col min="36" max="36" width="21" bestFit="1" customWidth="1"/>
  </cols>
  <sheetData>
    <row r="1" spans="1:36" x14ac:dyDescent="0.3">
      <c r="A1" s="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8" t="s">
        <v>188</v>
      </c>
      <c r="H1" s="5" t="s">
        <v>191</v>
      </c>
      <c r="I1" s="38" t="s">
        <v>460</v>
      </c>
      <c r="J1" s="4" t="s">
        <v>461</v>
      </c>
      <c r="K1" s="38" t="s">
        <v>453</v>
      </c>
      <c r="L1" s="4" t="s">
        <v>454</v>
      </c>
      <c r="M1" s="4" t="s">
        <v>455</v>
      </c>
      <c r="N1" s="4" t="s">
        <v>456</v>
      </c>
      <c r="O1" s="4" t="s">
        <v>457</v>
      </c>
      <c r="P1" s="4" t="s">
        <v>458</v>
      </c>
      <c r="Q1" s="4" t="s">
        <v>490</v>
      </c>
      <c r="R1" s="4" t="s">
        <v>562</v>
      </c>
      <c r="S1" s="4" t="s">
        <v>563</v>
      </c>
      <c r="T1" s="4" t="s">
        <v>564</v>
      </c>
      <c r="U1" s="4" t="s">
        <v>565</v>
      </c>
      <c r="V1" s="38" t="s">
        <v>463</v>
      </c>
      <c r="W1" s="4" t="s">
        <v>462</v>
      </c>
      <c r="X1" s="4" t="s">
        <v>464</v>
      </c>
      <c r="Y1" s="4" t="s">
        <v>465</v>
      </c>
      <c r="Z1" s="4" t="s">
        <v>459</v>
      </c>
      <c r="AA1" s="38" t="s">
        <v>472</v>
      </c>
      <c r="AB1" s="1" t="s">
        <v>521</v>
      </c>
      <c r="AC1" s="4" t="s">
        <v>522</v>
      </c>
      <c r="AD1" s="4" t="s">
        <v>677</v>
      </c>
      <c r="AE1" s="38" t="s">
        <v>468</v>
      </c>
      <c r="AF1" s="4" t="s">
        <v>469</v>
      </c>
      <c r="AG1" s="4" t="s">
        <v>466</v>
      </c>
      <c r="AH1" s="4" t="s">
        <v>467</v>
      </c>
      <c r="AI1" s="4" t="s">
        <v>471</v>
      </c>
      <c r="AJ1" s="4" t="s">
        <v>470</v>
      </c>
    </row>
    <row r="2" spans="1:36" x14ac:dyDescent="0.3">
      <c r="A2" s="3"/>
      <c r="B2" s="7"/>
      <c r="C2" s="7"/>
      <c r="D2" s="7"/>
      <c r="E2" s="7"/>
      <c r="F2" s="7"/>
      <c r="G2" s="39"/>
      <c r="H2" s="3"/>
      <c r="I2" s="39"/>
      <c r="J2" s="7"/>
      <c r="K2" s="39"/>
      <c r="L2" s="7"/>
      <c r="M2" s="7"/>
      <c r="N2" s="7"/>
      <c r="O2" s="7"/>
      <c r="P2" s="7"/>
      <c r="Q2" s="7"/>
      <c r="R2" s="7"/>
      <c r="S2" s="7"/>
      <c r="T2" s="7"/>
      <c r="U2" s="7"/>
      <c r="V2" s="39"/>
      <c r="W2" s="7"/>
      <c r="X2" s="7"/>
      <c r="Y2" s="7"/>
      <c r="Z2" s="7"/>
      <c r="AA2" s="39"/>
      <c r="AB2" s="11"/>
      <c r="AC2" s="7"/>
      <c r="AD2" s="7"/>
      <c r="AE2" s="39"/>
      <c r="AF2" s="7"/>
      <c r="AG2" s="7"/>
      <c r="AH2" s="7"/>
      <c r="AI2" s="7"/>
      <c r="AJ2" s="7"/>
    </row>
    <row r="3" spans="1:36" x14ac:dyDescent="0.3">
      <c r="A3" s="6" t="s">
        <v>6</v>
      </c>
      <c r="B3">
        <v>109</v>
      </c>
      <c r="C3">
        <v>9</v>
      </c>
      <c r="D3">
        <v>90</v>
      </c>
      <c r="G3" s="40">
        <v>0.48</v>
      </c>
      <c r="H3" s="6">
        <v>61.6</v>
      </c>
      <c r="I3">
        <v>902</v>
      </c>
      <c r="J3">
        <v>750</v>
      </c>
      <c r="K3" s="40"/>
      <c r="V3" s="40"/>
      <c r="AA3" s="40">
        <v>20.12</v>
      </c>
      <c r="AD3">
        <v>2.5000000000000001E-2</v>
      </c>
      <c r="AE3" s="40"/>
      <c r="AF3">
        <v>6</v>
      </c>
    </row>
    <row r="4" spans="1:36" x14ac:dyDescent="0.3">
      <c r="A4" s="6" t="s">
        <v>480</v>
      </c>
      <c r="B4">
        <v>0</v>
      </c>
      <c r="C4">
        <v>0</v>
      </c>
      <c r="D4">
        <v>0</v>
      </c>
      <c r="E4">
        <v>0</v>
      </c>
      <c r="F4">
        <v>0</v>
      </c>
      <c r="G4" s="40">
        <v>1.49</v>
      </c>
      <c r="H4" s="6">
        <v>23</v>
      </c>
      <c r="I4">
        <v>0</v>
      </c>
      <c r="J4">
        <v>0</v>
      </c>
      <c r="K4" s="40">
        <v>0</v>
      </c>
      <c r="L4">
        <v>12400</v>
      </c>
      <c r="M4">
        <v>55600</v>
      </c>
      <c r="N4">
        <v>0</v>
      </c>
      <c r="O4">
        <v>0</v>
      </c>
      <c r="P4">
        <v>0</v>
      </c>
      <c r="Q4">
        <v>0</v>
      </c>
      <c r="V4" s="40"/>
      <c r="AA4" s="40">
        <v>0.09</v>
      </c>
      <c r="AE4" s="40"/>
      <c r="AF4">
        <v>17</v>
      </c>
    </row>
    <row r="5" spans="1:36" x14ac:dyDescent="0.3">
      <c r="A5" s="6" t="s">
        <v>481</v>
      </c>
      <c r="B5">
        <v>0</v>
      </c>
      <c r="C5">
        <v>0</v>
      </c>
      <c r="D5">
        <v>0</v>
      </c>
      <c r="E5">
        <v>0</v>
      </c>
      <c r="F5">
        <v>0</v>
      </c>
      <c r="G5" s="40">
        <v>1.49</v>
      </c>
      <c r="H5" s="6">
        <v>23</v>
      </c>
      <c r="I5">
        <v>0</v>
      </c>
      <c r="J5">
        <v>0</v>
      </c>
      <c r="K5" s="40">
        <v>0</v>
      </c>
      <c r="L5">
        <v>12400</v>
      </c>
      <c r="M5">
        <v>55600</v>
      </c>
      <c r="N5">
        <v>0</v>
      </c>
      <c r="O5">
        <v>0</v>
      </c>
      <c r="P5">
        <v>0</v>
      </c>
      <c r="Q5">
        <v>0</v>
      </c>
      <c r="V5" s="40"/>
      <c r="AA5" s="40">
        <v>0.09</v>
      </c>
      <c r="AE5" s="40"/>
      <c r="AF5">
        <v>17</v>
      </c>
    </row>
    <row r="6" spans="1:36" x14ac:dyDescent="0.3">
      <c r="A6" s="6" t="s">
        <v>7</v>
      </c>
      <c r="B6">
        <v>0</v>
      </c>
      <c r="C6">
        <v>0</v>
      </c>
      <c r="D6">
        <v>0</v>
      </c>
      <c r="E6">
        <v>44395</v>
      </c>
      <c r="F6">
        <v>44601</v>
      </c>
      <c r="G6" s="40">
        <v>1.76</v>
      </c>
      <c r="H6" s="6">
        <v>0.1</v>
      </c>
      <c r="I6">
        <v>11505</v>
      </c>
      <c r="J6">
        <v>0</v>
      </c>
      <c r="K6" s="40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V6" s="40"/>
      <c r="AA6" s="40"/>
      <c r="AE6" s="40"/>
    </row>
    <row r="7" spans="1:36" x14ac:dyDescent="0.3">
      <c r="A7" s="6" t="s">
        <v>246</v>
      </c>
      <c r="B7">
        <v>39.799999999999997</v>
      </c>
      <c r="G7" s="40">
        <v>0.48099999999999998</v>
      </c>
      <c r="H7" s="6">
        <v>4.41</v>
      </c>
      <c r="I7">
        <v>1</v>
      </c>
      <c r="J7">
        <v>733</v>
      </c>
      <c r="K7" s="40">
        <v>3950</v>
      </c>
      <c r="L7">
        <v>170</v>
      </c>
      <c r="M7">
        <v>110</v>
      </c>
      <c r="N7">
        <v>0</v>
      </c>
      <c r="O7">
        <v>70</v>
      </c>
      <c r="P7">
        <v>40</v>
      </c>
      <c r="Q7">
        <v>0</v>
      </c>
      <c r="V7" s="40"/>
      <c r="AA7" s="40">
        <v>21.8</v>
      </c>
      <c r="AE7" s="40"/>
      <c r="AF7">
        <v>0</v>
      </c>
    </row>
    <row r="8" spans="1:36" x14ac:dyDescent="0.3">
      <c r="A8" s="6" t="s">
        <v>8</v>
      </c>
      <c r="B8">
        <v>101</v>
      </c>
      <c r="C8">
        <v>9</v>
      </c>
      <c r="G8" s="40">
        <v>1.048</v>
      </c>
      <c r="H8" s="6">
        <v>73.900000000000006</v>
      </c>
      <c r="I8">
        <v>57</v>
      </c>
      <c r="J8">
        <v>16</v>
      </c>
      <c r="K8" s="40"/>
      <c r="V8" s="40"/>
      <c r="AA8" s="40"/>
      <c r="AE8" s="40"/>
    </row>
    <row r="9" spans="1:36" x14ac:dyDescent="0.3">
      <c r="A9" s="6" t="s">
        <v>9</v>
      </c>
      <c r="B9">
        <v>5</v>
      </c>
      <c r="C9">
        <v>13</v>
      </c>
      <c r="G9" s="40">
        <v>0.75</v>
      </c>
      <c r="H9" s="6">
        <v>84.7</v>
      </c>
      <c r="I9">
        <v>1</v>
      </c>
      <c r="J9">
        <v>95</v>
      </c>
      <c r="K9" s="40">
        <v>4970</v>
      </c>
      <c r="L9">
        <v>2088</v>
      </c>
      <c r="M9">
        <v>4531</v>
      </c>
      <c r="N9">
        <v>150</v>
      </c>
      <c r="O9">
        <v>0</v>
      </c>
      <c r="P9">
        <v>150</v>
      </c>
      <c r="Q9">
        <v>0</v>
      </c>
      <c r="V9" s="40"/>
      <c r="W9">
        <v>552</v>
      </c>
      <c r="AA9" s="40">
        <v>0.19</v>
      </c>
      <c r="AB9">
        <v>3.3</v>
      </c>
      <c r="AE9" s="40"/>
      <c r="AF9">
        <v>4.5999999999999996</v>
      </c>
      <c r="AG9">
        <v>100</v>
      </c>
      <c r="AI9">
        <v>2790</v>
      </c>
    </row>
    <row r="10" spans="1:36" x14ac:dyDescent="0.3">
      <c r="A10" s="6" t="s">
        <v>10</v>
      </c>
      <c r="B10">
        <v>2</v>
      </c>
      <c r="C10">
        <v>3</v>
      </c>
      <c r="G10" s="40">
        <v>0.36499999999999999</v>
      </c>
      <c r="H10" s="6">
        <v>94.9</v>
      </c>
      <c r="I10">
        <v>94</v>
      </c>
      <c r="J10">
        <v>370</v>
      </c>
      <c r="K10" s="40"/>
      <c r="V10" s="40"/>
      <c r="AA10" s="40">
        <v>3.27</v>
      </c>
      <c r="AE10" s="40"/>
      <c r="AF10">
        <v>11.7</v>
      </c>
      <c r="AG10">
        <v>100</v>
      </c>
    </row>
    <row r="11" spans="1:36" x14ac:dyDescent="0.3">
      <c r="A11" s="6" t="s">
        <v>271</v>
      </c>
      <c r="B11">
        <v>40</v>
      </c>
      <c r="C11">
        <v>16</v>
      </c>
      <c r="G11" s="40">
        <v>0.44900000000000001</v>
      </c>
      <c r="H11" s="6">
        <v>93.2</v>
      </c>
      <c r="I11">
        <v>2</v>
      </c>
      <c r="J11">
        <v>202</v>
      </c>
      <c r="K11" s="40">
        <v>230</v>
      </c>
      <c r="L11">
        <v>650</v>
      </c>
      <c r="M11">
        <v>1000</v>
      </c>
      <c r="N11">
        <v>0</v>
      </c>
      <c r="O11">
        <v>0</v>
      </c>
      <c r="P11">
        <v>0</v>
      </c>
      <c r="Q11">
        <v>0</v>
      </c>
      <c r="V11" s="40"/>
      <c r="AA11" s="40">
        <v>2.2000000000000002</v>
      </c>
      <c r="AB11">
        <v>28.3</v>
      </c>
      <c r="AE11" s="40"/>
      <c r="AF11">
        <v>5.6</v>
      </c>
      <c r="AG11">
        <v>100</v>
      </c>
    </row>
    <row r="12" spans="1:36" x14ac:dyDescent="0.3">
      <c r="A12" s="6" t="s">
        <v>252</v>
      </c>
      <c r="B12">
        <v>23</v>
      </c>
      <c r="G12" s="40">
        <v>1.02</v>
      </c>
      <c r="H12" s="6">
        <v>94.71</v>
      </c>
      <c r="I12">
        <v>287</v>
      </c>
      <c r="J12">
        <v>172</v>
      </c>
      <c r="K12" s="40">
        <v>230</v>
      </c>
      <c r="L12">
        <v>650</v>
      </c>
      <c r="M12">
        <v>1000</v>
      </c>
      <c r="N12">
        <v>0</v>
      </c>
      <c r="O12">
        <v>0</v>
      </c>
      <c r="P12">
        <v>0</v>
      </c>
      <c r="Q12">
        <v>0</v>
      </c>
      <c r="V12" s="40"/>
      <c r="AA12" s="40">
        <v>2.14</v>
      </c>
      <c r="AE12" s="40"/>
      <c r="AF12">
        <v>18.399999999999999</v>
      </c>
      <c r="AG12">
        <v>900</v>
      </c>
    </row>
    <row r="13" spans="1:36" x14ac:dyDescent="0.3">
      <c r="A13" s="6" t="s">
        <v>11</v>
      </c>
      <c r="B13">
        <v>36</v>
      </c>
      <c r="C13">
        <v>10</v>
      </c>
      <c r="G13" s="40">
        <v>0.44900000000000001</v>
      </c>
      <c r="H13" s="6">
        <v>93.2</v>
      </c>
      <c r="I13">
        <v>2</v>
      </c>
      <c r="J13">
        <v>202</v>
      </c>
      <c r="K13" s="40">
        <v>230</v>
      </c>
      <c r="L13">
        <v>650</v>
      </c>
      <c r="M13">
        <v>1000</v>
      </c>
      <c r="N13">
        <v>0</v>
      </c>
      <c r="O13">
        <v>0</v>
      </c>
      <c r="P13">
        <v>0</v>
      </c>
      <c r="Q13">
        <v>0</v>
      </c>
      <c r="V13" s="40"/>
      <c r="AA13" s="40">
        <v>2.2000000000000002</v>
      </c>
      <c r="AB13">
        <v>28.3</v>
      </c>
      <c r="AE13" s="40"/>
      <c r="AF13">
        <v>5.6</v>
      </c>
      <c r="AG13">
        <v>100</v>
      </c>
    </row>
    <row r="14" spans="1:36" x14ac:dyDescent="0.3">
      <c r="A14" s="6" t="s">
        <v>12</v>
      </c>
      <c r="B14">
        <v>18</v>
      </c>
      <c r="C14">
        <v>37</v>
      </c>
      <c r="G14" s="40">
        <v>0.63</v>
      </c>
      <c r="H14" s="6">
        <v>73.2</v>
      </c>
      <c r="I14">
        <v>7</v>
      </c>
      <c r="J14">
        <v>485</v>
      </c>
      <c r="K14" s="40">
        <v>60</v>
      </c>
      <c r="L14">
        <v>370</v>
      </c>
      <c r="M14">
        <v>120</v>
      </c>
      <c r="N14">
        <v>0</v>
      </c>
      <c r="O14">
        <v>100</v>
      </c>
      <c r="P14">
        <v>0</v>
      </c>
      <c r="Q14">
        <v>0</v>
      </c>
      <c r="V14" s="40"/>
      <c r="AA14" s="40">
        <v>2</v>
      </c>
      <c r="AB14">
        <v>27.7</v>
      </c>
      <c r="AE14" s="40"/>
      <c r="AF14">
        <v>10</v>
      </c>
    </row>
    <row r="15" spans="1:36" x14ac:dyDescent="0.3">
      <c r="A15" s="6" t="s">
        <v>508</v>
      </c>
      <c r="B15">
        <v>0</v>
      </c>
      <c r="C15">
        <v>0</v>
      </c>
      <c r="D15">
        <v>0</v>
      </c>
      <c r="E15">
        <v>0</v>
      </c>
      <c r="F15">
        <v>0</v>
      </c>
      <c r="G15" s="40">
        <v>1</v>
      </c>
      <c r="H15" s="6">
        <v>2.35</v>
      </c>
      <c r="I15">
        <v>10600</v>
      </c>
      <c r="J15">
        <v>20</v>
      </c>
      <c r="K15" s="40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V15" s="40">
        <v>0</v>
      </c>
      <c r="W15">
        <v>0</v>
      </c>
      <c r="X15">
        <v>0</v>
      </c>
      <c r="Y15">
        <v>0</v>
      </c>
      <c r="Z15">
        <v>0</v>
      </c>
      <c r="AA15" s="40">
        <v>0</v>
      </c>
      <c r="AE15" s="40">
        <v>0</v>
      </c>
      <c r="AF15">
        <v>0</v>
      </c>
      <c r="AG15">
        <v>0</v>
      </c>
      <c r="AH15">
        <v>0</v>
      </c>
      <c r="AI15">
        <v>0</v>
      </c>
      <c r="AJ15">
        <v>0</v>
      </c>
    </row>
    <row r="16" spans="1:36" x14ac:dyDescent="0.3">
      <c r="A16" s="6" t="s">
        <v>509</v>
      </c>
      <c r="B16">
        <v>0</v>
      </c>
      <c r="C16">
        <v>0</v>
      </c>
      <c r="D16">
        <v>0</v>
      </c>
      <c r="E16">
        <v>0</v>
      </c>
      <c r="F16">
        <v>0</v>
      </c>
      <c r="G16" s="40">
        <v>1.2</v>
      </c>
      <c r="H16" s="6">
        <v>1</v>
      </c>
      <c r="I16">
        <v>27360</v>
      </c>
      <c r="J16">
        <v>0</v>
      </c>
      <c r="K16" s="40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V16" s="40">
        <v>0</v>
      </c>
      <c r="W16">
        <v>0</v>
      </c>
      <c r="X16">
        <v>0</v>
      </c>
      <c r="Y16">
        <v>0</v>
      </c>
      <c r="Z16">
        <v>0</v>
      </c>
      <c r="AA16" s="40">
        <v>0</v>
      </c>
      <c r="AE16" s="40">
        <v>0</v>
      </c>
      <c r="AF16">
        <v>0</v>
      </c>
      <c r="AG16">
        <v>0</v>
      </c>
      <c r="AH16">
        <v>0</v>
      </c>
      <c r="AI16">
        <v>0</v>
      </c>
      <c r="AJ16">
        <v>0</v>
      </c>
    </row>
    <row r="17" spans="1:32" x14ac:dyDescent="0.3">
      <c r="A17" s="6" t="s">
        <v>13</v>
      </c>
      <c r="B17">
        <v>52</v>
      </c>
      <c r="C17">
        <v>54</v>
      </c>
      <c r="G17" s="40">
        <v>0.64200000000000002</v>
      </c>
      <c r="H17" s="6">
        <v>91</v>
      </c>
      <c r="I17">
        <v>4</v>
      </c>
      <c r="J17">
        <v>533</v>
      </c>
      <c r="K17" s="40"/>
      <c r="V17" s="40"/>
      <c r="AA17" s="40">
        <v>2.6</v>
      </c>
      <c r="AE17" s="40"/>
      <c r="AF17">
        <v>4</v>
      </c>
    </row>
    <row r="18" spans="1:32" x14ac:dyDescent="0.3">
      <c r="A18" s="6" t="s">
        <v>482</v>
      </c>
      <c r="B18">
        <v>0</v>
      </c>
      <c r="C18">
        <v>0</v>
      </c>
      <c r="D18">
        <v>0</v>
      </c>
      <c r="E18">
        <v>0</v>
      </c>
      <c r="F18">
        <v>0</v>
      </c>
      <c r="G18" s="40">
        <v>0.72099999999999997</v>
      </c>
      <c r="H18" s="6">
        <v>3</v>
      </c>
      <c r="I18">
        <v>28</v>
      </c>
      <c r="J18">
        <v>133</v>
      </c>
      <c r="K18" s="40">
        <v>94600</v>
      </c>
      <c r="L18">
        <v>1350</v>
      </c>
      <c r="M18">
        <v>1110</v>
      </c>
      <c r="N18">
        <v>0</v>
      </c>
      <c r="O18">
        <v>0</v>
      </c>
      <c r="P18">
        <v>0</v>
      </c>
      <c r="Q18">
        <v>0</v>
      </c>
      <c r="V18" s="40"/>
      <c r="AA18" s="40">
        <v>0.12</v>
      </c>
      <c r="AE18" s="40"/>
      <c r="AF18">
        <v>0</v>
      </c>
    </row>
    <row r="19" spans="1:32" x14ac:dyDescent="0.3">
      <c r="A19" s="6" t="s">
        <v>14</v>
      </c>
      <c r="B19">
        <v>2</v>
      </c>
      <c r="C19">
        <v>3</v>
      </c>
      <c r="G19" s="40">
        <v>0.62</v>
      </c>
      <c r="H19" s="6">
        <v>9.44</v>
      </c>
      <c r="I19">
        <v>12</v>
      </c>
      <c r="J19">
        <v>452</v>
      </c>
      <c r="K19" s="40"/>
      <c r="V19" s="40"/>
      <c r="AA19" s="40">
        <v>12.5</v>
      </c>
      <c r="AE19" s="40"/>
      <c r="AF19">
        <v>0</v>
      </c>
    </row>
    <row r="20" spans="1:32" x14ac:dyDescent="0.3">
      <c r="A20" s="6" t="s">
        <v>483</v>
      </c>
      <c r="G20" s="40">
        <v>0.68500000000000005</v>
      </c>
      <c r="H20" s="6">
        <v>8.2100000000000009</v>
      </c>
      <c r="I20">
        <v>11</v>
      </c>
      <c r="J20">
        <v>303</v>
      </c>
      <c r="K20" s="4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V20" s="40"/>
      <c r="AA20" s="40">
        <v>10.3</v>
      </c>
      <c r="AE20" s="40"/>
      <c r="AF20">
        <v>0</v>
      </c>
    </row>
    <row r="21" spans="1:32" x14ac:dyDescent="0.3">
      <c r="A21" s="6" t="s">
        <v>484</v>
      </c>
      <c r="G21" s="40">
        <v>0.68500000000000005</v>
      </c>
      <c r="H21" s="6">
        <v>8.2100000000000009</v>
      </c>
      <c r="I21">
        <v>11</v>
      </c>
      <c r="J21">
        <v>303</v>
      </c>
      <c r="K21" s="40">
        <v>2000</v>
      </c>
      <c r="L21">
        <v>8500</v>
      </c>
      <c r="M21">
        <v>1500</v>
      </c>
      <c r="N21">
        <v>0</v>
      </c>
      <c r="O21">
        <v>0</v>
      </c>
      <c r="P21">
        <v>40500</v>
      </c>
      <c r="Q21">
        <v>12500</v>
      </c>
      <c r="V21" s="40"/>
      <c r="AA21" s="40">
        <v>10.3</v>
      </c>
      <c r="AE21" s="40"/>
      <c r="AF21">
        <v>0</v>
      </c>
    </row>
    <row r="22" spans="1:32" x14ac:dyDescent="0.3">
      <c r="A22" s="6" t="s">
        <v>485</v>
      </c>
      <c r="G22" s="40">
        <v>1.6</v>
      </c>
      <c r="H22" s="6">
        <v>20</v>
      </c>
      <c r="I22">
        <v>0</v>
      </c>
      <c r="J22">
        <v>310</v>
      </c>
      <c r="K22" s="40">
        <v>2080</v>
      </c>
      <c r="L22">
        <v>15120</v>
      </c>
      <c r="M22">
        <v>3120</v>
      </c>
      <c r="N22">
        <v>0</v>
      </c>
      <c r="O22">
        <v>0</v>
      </c>
      <c r="P22">
        <v>59600</v>
      </c>
      <c r="Q22">
        <v>0</v>
      </c>
      <c r="V22" s="40"/>
      <c r="AA22" s="40">
        <v>4.8</v>
      </c>
      <c r="AE22" s="40"/>
      <c r="AF22">
        <v>0</v>
      </c>
    </row>
    <row r="23" spans="1:32" x14ac:dyDescent="0.3">
      <c r="A23" s="6" t="s">
        <v>15</v>
      </c>
      <c r="B23">
        <v>10</v>
      </c>
      <c r="C23">
        <v>4</v>
      </c>
      <c r="D23">
        <v>9</v>
      </c>
      <c r="G23" s="40">
        <v>1.57</v>
      </c>
      <c r="H23" s="6">
        <v>92.1</v>
      </c>
      <c r="I23">
        <v>4</v>
      </c>
      <c r="J23">
        <v>295</v>
      </c>
      <c r="K23" s="40">
        <v>0</v>
      </c>
      <c r="L23">
        <v>20</v>
      </c>
      <c r="M23">
        <v>20</v>
      </c>
      <c r="N23">
        <v>0</v>
      </c>
      <c r="O23">
        <v>270</v>
      </c>
      <c r="P23">
        <v>0</v>
      </c>
      <c r="V23" s="40"/>
      <c r="AA23" s="40">
        <v>3.15</v>
      </c>
      <c r="AE23" s="40"/>
      <c r="AF23">
        <v>18</v>
      </c>
    </row>
    <row r="24" spans="1:32" x14ac:dyDescent="0.3">
      <c r="A24" s="6" t="s">
        <v>251</v>
      </c>
      <c r="B24">
        <v>78.2</v>
      </c>
      <c r="G24" s="40">
        <v>1.0169999999999999</v>
      </c>
      <c r="H24" s="6">
        <v>66.849999999999994</v>
      </c>
      <c r="I24">
        <v>431</v>
      </c>
      <c r="J24">
        <v>348.5</v>
      </c>
      <c r="K24" s="40">
        <v>8460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s="40"/>
      <c r="AA24" s="40">
        <v>4.62</v>
      </c>
      <c r="AB24">
        <v>0.6</v>
      </c>
      <c r="AE24" s="40"/>
      <c r="AF24">
        <v>0</v>
      </c>
    </row>
    <row r="25" spans="1:32" x14ac:dyDescent="0.3">
      <c r="A25" s="6" t="s">
        <v>16</v>
      </c>
      <c r="B25">
        <v>990</v>
      </c>
      <c r="C25">
        <v>515</v>
      </c>
      <c r="G25" s="40">
        <v>1.21</v>
      </c>
      <c r="H25" s="6">
        <v>57.6</v>
      </c>
      <c r="I25">
        <v>3686</v>
      </c>
      <c r="J25">
        <v>928</v>
      </c>
      <c r="K25" s="40"/>
      <c r="V25" s="40"/>
      <c r="AA25" s="40">
        <v>8.57</v>
      </c>
      <c r="AE25" s="40"/>
      <c r="AF25">
        <v>0</v>
      </c>
    </row>
    <row r="26" spans="1:32" x14ac:dyDescent="0.3">
      <c r="A26" s="6" t="s">
        <v>17</v>
      </c>
      <c r="B26">
        <v>70</v>
      </c>
      <c r="C26">
        <v>25</v>
      </c>
      <c r="G26" s="40">
        <v>0.63</v>
      </c>
      <c r="H26" s="6">
        <v>11</v>
      </c>
      <c r="I26">
        <v>13</v>
      </c>
      <c r="J26">
        <v>1060</v>
      </c>
      <c r="K26" s="40">
        <v>0</v>
      </c>
      <c r="L26">
        <v>8250</v>
      </c>
      <c r="M26">
        <v>0</v>
      </c>
      <c r="N26">
        <v>0</v>
      </c>
      <c r="O26">
        <v>470</v>
      </c>
      <c r="P26">
        <v>0</v>
      </c>
      <c r="Q26">
        <v>0</v>
      </c>
      <c r="R26">
        <v>3360</v>
      </c>
      <c r="S26">
        <v>1970</v>
      </c>
      <c r="T26">
        <v>1090</v>
      </c>
      <c r="U26">
        <v>0</v>
      </c>
      <c r="V26" s="40">
        <v>0</v>
      </c>
      <c r="W26">
        <v>0.2</v>
      </c>
      <c r="X26">
        <v>0</v>
      </c>
      <c r="Y26">
        <v>4.9000000000000004</v>
      </c>
      <c r="Z26">
        <v>3.7</v>
      </c>
      <c r="AA26" s="40">
        <v>26.1</v>
      </c>
      <c r="AE26" s="40"/>
      <c r="AF26">
        <v>1.4</v>
      </c>
    </row>
    <row r="27" spans="1:32" x14ac:dyDescent="0.3">
      <c r="A27" s="6" t="s">
        <v>18</v>
      </c>
      <c r="B27">
        <v>50</v>
      </c>
      <c r="G27" s="40">
        <v>0.69099999999999995</v>
      </c>
      <c r="H27" s="6">
        <v>8.5399999999999991</v>
      </c>
      <c r="I27">
        <v>2</v>
      </c>
      <c r="J27">
        <v>1800</v>
      </c>
      <c r="K27" s="40">
        <v>0</v>
      </c>
      <c r="L27">
        <v>3200</v>
      </c>
      <c r="M27">
        <v>0</v>
      </c>
      <c r="N27">
        <v>0</v>
      </c>
      <c r="O27">
        <v>4070</v>
      </c>
      <c r="P27">
        <v>0</v>
      </c>
      <c r="Q27">
        <v>0</v>
      </c>
      <c r="R27">
        <v>2640</v>
      </c>
      <c r="S27">
        <v>2460</v>
      </c>
      <c r="T27">
        <v>1170</v>
      </c>
      <c r="U27">
        <v>810</v>
      </c>
      <c r="V27" s="40"/>
      <c r="AA27" s="40">
        <v>36.5</v>
      </c>
      <c r="AB27">
        <v>8.5</v>
      </c>
      <c r="AE27" s="40"/>
      <c r="AF27">
        <v>6</v>
      </c>
    </row>
    <row r="28" spans="1:32" x14ac:dyDescent="0.3">
      <c r="A28" s="6" t="s">
        <v>19</v>
      </c>
      <c r="B28">
        <v>10</v>
      </c>
      <c r="C28">
        <v>2</v>
      </c>
      <c r="E28">
        <v>80</v>
      </c>
      <c r="G28" s="40">
        <v>1.006</v>
      </c>
      <c r="H28" s="6">
        <v>61.9</v>
      </c>
      <c r="I28">
        <v>66</v>
      </c>
      <c r="J28">
        <v>270</v>
      </c>
      <c r="K28" s="40">
        <v>0</v>
      </c>
      <c r="L28">
        <v>0</v>
      </c>
      <c r="M28">
        <v>0</v>
      </c>
      <c r="N28">
        <v>0</v>
      </c>
      <c r="O28">
        <v>0</v>
      </c>
      <c r="P28">
        <v>0</v>
      </c>
      <c r="V28" s="40"/>
      <c r="AA28" s="40">
        <v>17.2</v>
      </c>
      <c r="AB28">
        <v>20</v>
      </c>
      <c r="AE28" s="40"/>
      <c r="AF28">
        <v>0</v>
      </c>
    </row>
    <row r="29" spans="1:32" x14ac:dyDescent="0.3">
      <c r="A29" s="6" t="s">
        <v>20</v>
      </c>
      <c r="B29">
        <v>289</v>
      </c>
      <c r="E29">
        <v>80</v>
      </c>
      <c r="F29">
        <v>80</v>
      </c>
      <c r="G29" s="40">
        <v>0.25</v>
      </c>
      <c r="H29" s="6">
        <v>32.5</v>
      </c>
      <c r="I29">
        <v>26000</v>
      </c>
      <c r="J29">
        <v>446</v>
      </c>
      <c r="K29" s="40">
        <v>16700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V29" s="40"/>
      <c r="AA29" s="40">
        <v>16</v>
      </c>
      <c r="AE29" s="40"/>
    </row>
    <row r="30" spans="1:32" x14ac:dyDescent="0.3">
      <c r="A30" s="6" t="s">
        <v>270</v>
      </c>
      <c r="B30">
        <v>6827</v>
      </c>
      <c r="G30" s="40">
        <v>1.45</v>
      </c>
      <c r="H30" s="6">
        <v>8.5</v>
      </c>
      <c r="I30">
        <v>15600</v>
      </c>
      <c r="J30">
        <v>0</v>
      </c>
      <c r="K30" s="40">
        <v>11100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V30" s="40"/>
      <c r="AA30" s="40">
        <v>11.1</v>
      </c>
      <c r="AE30" s="40"/>
    </row>
    <row r="31" spans="1:32" x14ac:dyDescent="0.3">
      <c r="A31" s="6" t="s">
        <v>250</v>
      </c>
      <c r="B31">
        <v>16.899999999999999</v>
      </c>
      <c r="G31" s="40">
        <v>1.0049999999999999</v>
      </c>
      <c r="H31" s="6">
        <v>92.5</v>
      </c>
      <c r="I31">
        <v>4</v>
      </c>
      <c r="J31">
        <v>27</v>
      </c>
      <c r="K31" s="40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V31" s="40">
        <v>0</v>
      </c>
      <c r="W31">
        <v>0</v>
      </c>
      <c r="X31">
        <v>0</v>
      </c>
      <c r="Y31">
        <v>0</v>
      </c>
      <c r="Z31">
        <v>0</v>
      </c>
      <c r="AA31" s="40">
        <v>0.46</v>
      </c>
      <c r="AB31">
        <v>1.2</v>
      </c>
      <c r="AC31">
        <v>0</v>
      </c>
      <c r="AD31">
        <v>1.2E-2</v>
      </c>
      <c r="AE31" s="40"/>
      <c r="AF31">
        <v>0</v>
      </c>
    </row>
    <row r="32" spans="1:32" x14ac:dyDescent="0.3">
      <c r="A32" s="6" t="s">
        <v>486</v>
      </c>
      <c r="B32">
        <v>0</v>
      </c>
      <c r="C32">
        <v>0</v>
      </c>
      <c r="D32">
        <v>0</v>
      </c>
      <c r="E32">
        <v>0</v>
      </c>
      <c r="F32">
        <v>0</v>
      </c>
      <c r="G32" s="40">
        <v>1.59</v>
      </c>
      <c r="H32" s="6">
        <v>0.06</v>
      </c>
      <c r="I32">
        <v>0</v>
      </c>
      <c r="J32">
        <v>0</v>
      </c>
      <c r="K32" s="40">
        <v>100000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V32" s="40">
        <v>0</v>
      </c>
      <c r="W32">
        <v>0</v>
      </c>
      <c r="X32">
        <v>0</v>
      </c>
      <c r="Y32">
        <v>0</v>
      </c>
      <c r="Z32">
        <v>0</v>
      </c>
      <c r="AA32" s="40">
        <v>0</v>
      </c>
      <c r="AE32" s="40"/>
      <c r="AF32">
        <v>0</v>
      </c>
    </row>
    <row r="33" spans="1:32" x14ac:dyDescent="0.3">
      <c r="A33" s="6" t="s">
        <v>21</v>
      </c>
      <c r="B33">
        <v>60</v>
      </c>
      <c r="C33">
        <v>25</v>
      </c>
      <c r="G33" s="40">
        <v>0.76</v>
      </c>
      <c r="H33" s="6">
        <v>87.6</v>
      </c>
      <c r="I33">
        <v>78</v>
      </c>
      <c r="J33">
        <v>325</v>
      </c>
      <c r="K33" s="40">
        <v>6760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V33" s="40">
        <v>0</v>
      </c>
      <c r="W33">
        <v>0</v>
      </c>
      <c r="X33">
        <v>0</v>
      </c>
      <c r="Y33">
        <v>0</v>
      </c>
      <c r="Z33">
        <v>0</v>
      </c>
      <c r="AA33" s="40">
        <v>1.61</v>
      </c>
      <c r="AB33">
        <v>7.9</v>
      </c>
      <c r="AE33" s="40"/>
      <c r="AF33">
        <v>4.9000000000000004</v>
      </c>
    </row>
    <row r="34" spans="1:32" x14ac:dyDescent="0.3">
      <c r="A34" s="6" t="s">
        <v>22</v>
      </c>
      <c r="B34">
        <v>0.7</v>
      </c>
      <c r="C34">
        <v>1.6</v>
      </c>
      <c r="G34" s="40">
        <v>0.54</v>
      </c>
      <c r="H34" s="6">
        <v>91.28</v>
      </c>
      <c r="I34">
        <v>0</v>
      </c>
      <c r="J34">
        <v>0</v>
      </c>
      <c r="K34" s="40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V34" s="40">
        <v>0</v>
      </c>
      <c r="W34">
        <v>0</v>
      </c>
      <c r="X34">
        <v>0</v>
      </c>
      <c r="Y34">
        <v>0</v>
      </c>
      <c r="Z34">
        <v>0</v>
      </c>
      <c r="AA34" s="40">
        <v>0</v>
      </c>
      <c r="AE34" s="40"/>
      <c r="AF34">
        <v>89.4</v>
      </c>
    </row>
    <row r="35" spans="1:32" x14ac:dyDescent="0.3">
      <c r="A35" s="6" t="s">
        <v>23</v>
      </c>
      <c r="B35">
        <v>17</v>
      </c>
      <c r="C35">
        <v>0</v>
      </c>
      <c r="G35" s="40">
        <v>1.1000000000000001</v>
      </c>
      <c r="H35" s="6">
        <v>72.5</v>
      </c>
      <c r="I35">
        <v>60</v>
      </c>
      <c r="J35">
        <v>396</v>
      </c>
      <c r="K35" s="40"/>
      <c r="V35" s="40">
        <v>0</v>
      </c>
      <c r="W35">
        <v>0</v>
      </c>
      <c r="X35">
        <v>0</v>
      </c>
      <c r="Y35">
        <v>0</v>
      </c>
      <c r="Z35">
        <v>0</v>
      </c>
      <c r="AA35" s="40">
        <v>21.5</v>
      </c>
      <c r="AE35" s="40"/>
      <c r="AF35">
        <v>0</v>
      </c>
    </row>
    <row r="36" spans="1:32" x14ac:dyDescent="0.3">
      <c r="A36" s="6" t="s">
        <v>24</v>
      </c>
      <c r="B36">
        <v>35</v>
      </c>
      <c r="C36">
        <v>23</v>
      </c>
      <c r="D36">
        <v>52</v>
      </c>
      <c r="E36">
        <v>474</v>
      </c>
      <c r="G36" s="40">
        <v>0.05</v>
      </c>
      <c r="H36" s="6">
        <v>21</v>
      </c>
      <c r="I36">
        <v>267</v>
      </c>
      <c r="J36">
        <v>876</v>
      </c>
      <c r="K36" s="40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V36" s="40">
        <v>0</v>
      </c>
      <c r="W36">
        <v>0</v>
      </c>
      <c r="X36">
        <v>0</v>
      </c>
      <c r="Y36">
        <v>0</v>
      </c>
      <c r="Z36">
        <v>0</v>
      </c>
      <c r="AA36" s="40">
        <v>66.7</v>
      </c>
      <c r="AE36" s="40"/>
      <c r="AF36">
        <v>0</v>
      </c>
    </row>
    <row r="37" spans="1:32" x14ac:dyDescent="0.3">
      <c r="A37" s="6" t="s">
        <v>25</v>
      </c>
      <c r="B37">
        <v>4</v>
      </c>
      <c r="C37">
        <v>2</v>
      </c>
      <c r="G37" s="40">
        <v>0.55000000000000004</v>
      </c>
      <c r="H37" s="6">
        <v>3.27</v>
      </c>
      <c r="I37">
        <v>26000</v>
      </c>
      <c r="J37">
        <v>446</v>
      </c>
      <c r="K37" s="40">
        <v>16700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V37" s="40">
        <v>0</v>
      </c>
      <c r="W37">
        <v>0</v>
      </c>
      <c r="X37">
        <v>0</v>
      </c>
      <c r="Y37">
        <v>0</v>
      </c>
      <c r="Z37">
        <v>0</v>
      </c>
      <c r="AA37" s="40">
        <v>16</v>
      </c>
      <c r="AE37" s="40"/>
      <c r="AF37">
        <v>0</v>
      </c>
    </row>
    <row r="38" spans="1:32" x14ac:dyDescent="0.3">
      <c r="A38" s="6" t="s">
        <v>249</v>
      </c>
      <c r="B38">
        <v>22.4</v>
      </c>
      <c r="G38" s="40">
        <v>0.245</v>
      </c>
      <c r="H38" s="6">
        <v>35.200000000000003</v>
      </c>
      <c r="I38">
        <v>473</v>
      </c>
      <c r="J38">
        <v>141</v>
      </c>
      <c r="K38" s="40">
        <v>0</v>
      </c>
      <c r="L38">
        <v>1660</v>
      </c>
      <c r="M38">
        <v>2330</v>
      </c>
      <c r="N38">
        <v>0</v>
      </c>
      <c r="O38">
        <v>0</v>
      </c>
      <c r="P38">
        <v>1740</v>
      </c>
      <c r="Q38">
        <v>0</v>
      </c>
      <c r="V38" s="40">
        <v>0</v>
      </c>
      <c r="W38">
        <v>0</v>
      </c>
      <c r="X38">
        <v>0</v>
      </c>
      <c r="Y38">
        <v>0</v>
      </c>
      <c r="Z38">
        <v>0</v>
      </c>
      <c r="AA38" s="40">
        <v>10.7</v>
      </c>
      <c r="AB38">
        <v>0.65</v>
      </c>
      <c r="AE38" s="40"/>
      <c r="AF38">
        <v>0.2</v>
      </c>
    </row>
    <row r="39" spans="1:32" x14ac:dyDescent="0.3">
      <c r="A39" s="6" t="s">
        <v>26</v>
      </c>
      <c r="B39">
        <v>45</v>
      </c>
      <c r="C39">
        <v>21</v>
      </c>
      <c r="G39" s="40">
        <v>0.78</v>
      </c>
      <c r="H39" s="6">
        <v>89.3</v>
      </c>
      <c r="I39">
        <v>33</v>
      </c>
      <c r="J39">
        <v>316</v>
      </c>
      <c r="K39" s="40">
        <v>100</v>
      </c>
      <c r="L39">
        <v>490</v>
      </c>
      <c r="M39">
        <v>680</v>
      </c>
      <c r="N39">
        <v>210</v>
      </c>
      <c r="O39">
        <v>0</v>
      </c>
      <c r="P39">
        <v>210</v>
      </c>
      <c r="Q39">
        <v>0</v>
      </c>
      <c r="V39" s="40">
        <v>0</v>
      </c>
      <c r="W39">
        <v>0</v>
      </c>
      <c r="X39">
        <v>0</v>
      </c>
      <c r="Y39">
        <v>0</v>
      </c>
      <c r="Z39">
        <v>0</v>
      </c>
      <c r="AA39" s="40">
        <v>2.82</v>
      </c>
      <c r="AB39">
        <v>14.78</v>
      </c>
      <c r="AC39">
        <v>208</v>
      </c>
      <c r="AE39" s="40"/>
      <c r="AF39">
        <v>89.2</v>
      </c>
    </row>
    <row r="40" spans="1:32" x14ac:dyDescent="0.3">
      <c r="A40" s="6" t="s">
        <v>291</v>
      </c>
      <c r="B40">
        <v>258</v>
      </c>
      <c r="G40" s="40">
        <v>1.01</v>
      </c>
      <c r="H40" s="6">
        <v>97.03</v>
      </c>
      <c r="I40">
        <v>35</v>
      </c>
      <c r="J40">
        <v>0</v>
      </c>
      <c r="K40" s="40">
        <v>280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V40" s="40">
        <v>0</v>
      </c>
      <c r="W40">
        <v>0</v>
      </c>
      <c r="X40">
        <v>0</v>
      </c>
      <c r="Y40">
        <v>0</v>
      </c>
      <c r="Z40">
        <v>0</v>
      </c>
      <c r="AA40" s="40">
        <v>2.82</v>
      </c>
      <c r="AB40">
        <v>1.2</v>
      </c>
      <c r="AE40" s="40"/>
      <c r="AF40">
        <v>0</v>
      </c>
    </row>
    <row r="41" spans="1:32" x14ac:dyDescent="0.3">
      <c r="A41" s="6" t="s">
        <v>292</v>
      </c>
      <c r="B41">
        <v>347</v>
      </c>
      <c r="G41" s="40">
        <v>1.05</v>
      </c>
      <c r="H41" s="6">
        <v>97.8</v>
      </c>
      <c r="I41">
        <v>371</v>
      </c>
      <c r="J41">
        <v>18</v>
      </c>
      <c r="K41" s="40">
        <v>430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V41" s="40">
        <v>0</v>
      </c>
      <c r="W41">
        <v>0</v>
      </c>
      <c r="X41">
        <v>0</v>
      </c>
      <c r="Y41">
        <v>0</v>
      </c>
      <c r="Z41">
        <v>0</v>
      </c>
      <c r="AA41" s="40">
        <v>0.64</v>
      </c>
      <c r="AB41">
        <v>1.2</v>
      </c>
      <c r="AE41" s="40"/>
      <c r="AF41">
        <v>0</v>
      </c>
    </row>
    <row r="42" spans="1:32" x14ac:dyDescent="0.3">
      <c r="A42" s="6" t="s">
        <v>293</v>
      </c>
      <c r="B42">
        <v>418</v>
      </c>
      <c r="G42" s="40">
        <v>1.01</v>
      </c>
      <c r="H42" s="6">
        <v>97</v>
      </c>
      <c r="I42">
        <v>179</v>
      </c>
      <c r="J42">
        <v>0</v>
      </c>
      <c r="K42" s="40">
        <v>420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V42" s="40">
        <v>0</v>
      </c>
      <c r="W42">
        <v>0</v>
      </c>
      <c r="X42">
        <v>0</v>
      </c>
      <c r="Y42">
        <v>0</v>
      </c>
      <c r="Z42">
        <v>0</v>
      </c>
      <c r="AA42" s="40">
        <v>0.42</v>
      </c>
      <c r="AB42">
        <v>1.2</v>
      </c>
      <c r="AE42" s="40"/>
      <c r="AF42">
        <v>0</v>
      </c>
    </row>
    <row r="43" spans="1:32" x14ac:dyDescent="0.3">
      <c r="A43" s="6" t="s">
        <v>491</v>
      </c>
      <c r="G43" s="40">
        <v>1.42</v>
      </c>
      <c r="H43" s="6">
        <v>19</v>
      </c>
      <c r="I43">
        <v>83</v>
      </c>
      <c r="J43">
        <v>36</v>
      </c>
      <c r="K43" s="40">
        <v>0</v>
      </c>
      <c r="L43">
        <v>4000</v>
      </c>
      <c r="M43">
        <v>0</v>
      </c>
      <c r="N43">
        <v>0</v>
      </c>
      <c r="O43">
        <v>0</v>
      </c>
      <c r="P43">
        <v>55000</v>
      </c>
      <c r="Q43">
        <v>10125</v>
      </c>
      <c r="V43" s="40"/>
      <c r="AA43" s="40">
        <v>2.38</v>
      </c>
      <c r="AE43" s="40"/>
      <c r="AF43">
        <v>0</v>
      </c>
    </row>
    <row r="44" spans="1:32" x14ac:dyDescent="0.3">
      <c r="A44" s="6" t="s">
        <v>492</v>
      </c>
      <c r="B44">
        <v>0</v>
      </c>
      <c r="C44">
        <v>0</v>
      </c>
      <c r="D44">
        <v>0</v>
      </c>
      <c r="E44">
        <v>0</v>
      </c>
      <c r="F44">
        <v>0</v>
      </c>
      <c r="G44" s="40">
        <v>0.72099999999999997</v>
      </c>
      <c r="H44" s="6">
        <v>3</v>
      </c>
      <c r="I44">
        <v>28</v>
      </c>
      <c r="J44">
        <v>133</v>
      </c>
      <c r="K44" s="40">
        <v>94600</v>
      </c>
      <c r="L44">
        <v>1350</v>
      </c>
      <c r="M44">
        <v>1110</v>
      </c>
      <c r="N44">
        <v>0</v>
      </c>
      <c r="O44">
        <v>0</v>
      </c>
      <c r="P44">
        <v>0</v>
      </c>
      <c r="Q44">
        <v>0</v>
      </c>
      <c r="V44" s="40"/>
      <c r="AA44" s="40">
        <v>0.12</v>
      </c>
      <c r="AE44" s="40"/>
      <c r="AF44">
        <v>0</v>
      </c>
    </row>
    <row r="45" spans="1:32" x14ac:dyDescent="0.3">
      <c r="A45" s="6" t="s">
        <v>27</v>
      </c>
      <c r="B45">
        <v>3</v>
      </c>
      <c r="C45">
        <v>17</v>
      </c>
      <c r="G45" s="40">
        <v>0.95399999999999996</v>
      </c>
      <c r="H45" s="6">
        <v>86</v>
      </c>
      <c r="I45">
        <v>25</v>
      </c>
      <c r="J45">
        <v>389</v>
      </c>
      <c r="K45" s="40">
        <v>460</v>
      </c>
      <c r="L45">
        <v>810</v>
      </c>
      <c r="M45">
        <v>930</v>
      </c>
      <c r="N45">
        <v>0</v>
      </c>
      <c r="O45">
        <v>0</v>
      </c>
      <c r="P45">
        <v>0</v>
      </c>
      <c r="Q45">
        <v>0</v>
      </c>
      <c r="V45" s="40"/>
      <c r="AA45" s="40">
        <v>3.38</v>
      </c>
      <c r="AB45">
        <v>2.5</v>
      </c>
      <c r="AC45">
        <v>318</v>
      </c>
      <c r="AE45" s="40"/>
      <c r="AF45">
        <v>85</v>
      </c>
    </row>
    <row r="46" spans="1:32" x14ac:dyDescent="0.3">
      <c r="A46" s="6" t="s">
        <v>28</v>
      </c>
      <c r="B46">
        <v>11</v>
      </c>
      <c r="G46" s="40">
        <v>0.55000000000000004</v>
      </c>
      <c r="H46" s="6">
        <v>80.099999999999994</v>
      </c>
      <c r="I46">
        <v>5</v>
      </c>
      <c r="J46">
        <v>308</v>
      </c>
      <c r="K46" s="40">
        <v>0</v>
      </c>
      <c r="L46">
        <v>145</v>
      </c>
      <c r="M46">
        <v>145</v>
      </c>
      <c r="N46">
        <v>0</v>
      </c>
      <c r="O46">
        <v>0</v>
      </c>
      <c r="P46">
        <v>0</v>
      </c>
      <c r="Q46">
        <v>0</v>
      </c>
      <c r="V46" s="40"/>
      <c r="AA46" s="40">
        <v>1.53</v>
      </c>
      <c r="AE46" s="40"/>
      <c r="AF46">
        <v>3</v>
      </c>
    </row>
    <row r="47" spans="1:32" x14ac:dyDescent="0.3">
      <c r="A47" s="6" t="s">
        <v>29</v>
      </c>
      <c r="B47">
        <v>40</v>
      </c>
      <c r="C47">
        <v>12</v>
      </c>
      <c r="G47" s="40">
        <v>0.36199999999999999</v>
      </c>
      <c r="H47" s="6">
        <v>92.2</v>
      </c>
      <c r="I47">
        <v>18</v>
      </c>
      <c r="J47">
        <v>170</v>
      </c>
      <c r="K47" s="40">
        <v>80</v>
      </c>
      <c r="L47">
        <v>1670</v>
      </c>
      <c r="M47">
        <v>1450</v>
      </c>
      <c r="N47">
        <v>0</v>
      </c>
      <c r="O47">
        <v>0</v>
      </c>
      <c r="P47">
        <v>10</v>
      </c>
      <c r="Q47">
        <v>0</v>
      </c>
      <c r="V47" s="40"/>
      <c r="AA47" s="40">
        <v>1.28</v>
      </c>
      <c r="AB47">
        <v>11.2</v>
      </c>
      <c r="AC47">
        <v>67</v>
      </c>
      <c r="AE47" s="40"/>
      <c r="AF47">
        <v>36.6</v>
      </c>
    </row>
    <row r="48" spans="1:32" x14ac:dyDescent="0.3">
      <c r="A48" s="6" t="s">
        <v>30</v>
      </c>
      <c r="B48">
        <v>55</v>
      </c>
      <c r="C48">
        <v>12</v>
      </c>
      <c r="G48" s="40">
        <v>0.2172</v>
      </c>
      <c r="H48" s="6">
        <v>95.3</v>
      </c>
      <c r="I48">
        <v>65</v>
      </c>
      <c r="J48">
        <v>252</v>
      </c>
      <c r="K48" s="40">
        <v>0</v>
      </c>
      <c r="L48">
        <v>590</v>
      </c>
      <c r="M48">
        <v>590</v>
      </c>
      <c r="N48">
        <v>0</v>
      </c>
      <c r="O48">
        <v>0</v>
      </c>
      <c r="P48">
        <v>0</v>
      </c>
      <c r="Q48">
        <v>0</v>
      </c>
      <c r="V48" s="40"/>
      <c r="AA48" s="40">
        <v>1.5</v>
      </c>
      <c r="AB48">
        <v>1.6</v>
      </c>
      <c r="AC48">
        <v>21</v>
      </c>
      <c r="AE48" s="40"/>
      <c r="AF48">
        <v>45</v>
      </c>
    </row>
    <row r="49" spans="1:36" x14ac:dyDescent="0.3">
      <c r="A49" s="6" t="s">
        <v>288</v>
      </c>
      <c r="B49">
        <v>46</v>
      </c>
      <c r="C49">
        <v>24</v>
      </c>
      <c r="G49" s="40">
        <v>0.68</v>
      </c>
      <c r="H49" s="6">
        <v>8</v>
      </c>
      <c r="I49">
        <v>67</v>
      </c>
      <c r="J49">
        <v>833</v>
      </c>
      <c r="K49" s="40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V49" s="40"/>
      <c r="AA49" s="40">
        <v>14.3</v>
      </c>
      <c r="AE49" s="40"/>
      <c r="AF49">
        <v>0</v>
      </c>
    </row>
    <row r="50" spans="1:36" x14ac:dyDescent="0.3">
      <c r="A50" s="6" t="s">
        <v>493</v>
      </c>
      <c r="B50">
        <v>0</v>
      </c>
      <c r="C50">
        <v>0</v>
      </c>
      <c r="D50">
        <v>0</v>
      </c>
      <c r="E50">
        <v>0</v>
      </c>
      <c r="F50">
        <v>0</v>
      </c>
      <c r="G50" s="40">
        <v>0.84899999999999998</v>
      </c>
      <c r="H50" s="6">
        <v>0.06</v>
      </c>
      <c r="I50">
        <v>0</v>
      </c>
      <c r="J50">
        <v>0</v>
      </c>
      <c r="K50" s="40">
        <v>99940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V50" s="40">
        <v>0</v>
      </c>
      <c r="W50">
        <v>0</v>
      </c>
      <c r="X50">
        <v>0</v>
      </c>
      <c r="Y50">
        <v>0</v>
      </c>
      <c r="Z50">
        <v>0</v>
      </c>
      <c r="AA50" s="40">
        <v>0</v>
      </c>
      <c r="AE50" s="4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3">
      <c r="A51" s="6" t="s">
        <v>512</v>
      </c>
      <c r="B51">
        <v>0</v>
      </c>
      <c r="C51">
        <v>0</v>
      </c>
      <c r="D51">
        <v>0</v>
      </c>
      <c r="E51">
        <v>0</v>
      </c>
      <c r="F51">
        <v>0</v>
      </c>
      <c r="G51" s="40">
        <v>1.22</v>
      </c>
      <c r="H51" s="6">
        <v>0.1</v>
      </c>
      <c r="I51">
        <v>39356</v>
      </c>
      <c r="J51">
        <v>0</v>
      </c>
      <c r="K51" s="40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V51" s="40">
        <v>0</v>
      </c>
      <c r="W51">
        <v>0</v>
      </c>
      <c r="X51">
        <v>0</v>
      </c>
      <c r="Y51">
        <v>0</v>
      </c>
      <c r="Z51">
        <v>0</v>
      </c>
      <c r="AA51" s="40">
        <v>0</v>
      </c>
      <c r="AE51" s="40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3">
      <c r="A52" s="6" t="s">
        <v>558</v>
      </c>
      <c r="B52">
        <v>0</v>
      </c>
      <c r="C52">
        <v>0</v>
      </c>
      <c r="D52">
        <v>0</v>
      </c>
      <c r="E52">
        <v>0</v>
      </c>
      <c r="F52">
        <v>0</v>
      </c>
      <c r="G52" s="40">
        <v>1.2749999999999999</v>
      </c>
      <c r="H52" s="6">
        <v>85</v>
      </c>
      <c r="I52">
        <v>35</v>
      </c>
      <c r="J52">
        <v>827</v>
      </c>
      <c r="K52" s="40">
        <v>9750</v>
      </c>
      <c r="L52">
        <v>1725</v>
      </c>
      <c r="M52">
        <v>1650</v>
      </c>
      <c r="N52">
        <v>0</v>
      </c>
      <c r="O52">
        <v>0</v>
      </c>
      <c r="P52">
        <v>262</v>
      </c>
      <c r="Q52">
        <v>0</v>
      </c>
      <c r="V52" s="40">
        <v>0</v>
      </c>
      <c r="W52">
        <v>0</v>
      </c>
      <c r="X52">
        <v>0</v>
      </c>
      <c r="Y52">
        <v>0</v>
      </c>
      <c r="Z52">
        <v>0</v>
      </c>
      <c r="AA52" s="40">
        <v>0</v>
      </c>
      <c r="AB52">
        <v>0</v>
      </c>
      <c r="AC52">
        <v>0</v>
      </c>
      <c r="AE52" s="40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3">
      <c r="A53" s="6" t="s">
        <v>31</v>
      </c>
      <c r="B53">
        <v>50</v>
      </c>
      <c r="C53">
        <v>23</v>
      </c>
      <c r="G53" s="40">
        <v>1.04</v>
      </c>
      <c r="H53" s="6">
        <v>88.3</v>
      </c>
      <c r="I53">
        <v>69</v>
      </c>
      <c r="J53">
        <v>320</v>
      </c>
      <c r="K53" s="40">
        <v>3590</v>
      </c>
      <c r="L53">
        <v>590</v>
      </c>
      <c r="M53">
        <v>550</v>
      </c>
      <c r="N53">
        <v>0</v>
      </c>
      <c r="O53">
        <v>0</v>
      </c>
      <c r="P53">
        <v>0</v>
      </c>
      <c r="Q53">
        <v>0</v>
      </c>
      <c r="V53" s="40"/>
      <c r="AA53" s="40">
        <v>0.93</v>
      </c>
      <c r="AB53">
        <v>7.9</v>
      </c>
      <c r="AE53" s="40"/>
      <c r="AF53">
        <v>5.9</v>
      </c>
    </row>
    <row r="54" spans="1:36" x14ac:dyDescent="0.3">
      <c r="A54" s="6" t="s">
        <v>559</v>
      </c>
      <c r="B54">
        <v>0</v>
      </c>
      <c r="C54">
        <v>0</v>
      </c>
      <c r="D54">
        <v>0</v>
      </c>
      <c r="E54">
        <v>0</v>
      </c>
      <c r="F54">
        <v>0</v>
      </c>
      <c r="G54" s="40">
        <v>0.80900000000000005</v>
      </c>
      <c r="H54" s="6">
        <v>0.06</v>
      </c>
      <c r="I54">
        <v>0</v>
      </c>
      <c r="J54">
        <v>0</v>
      </c>
      <c r="K54" s="40">
        <v>99940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V54" s="40">
        <v>0</v>
      </c>
      <c r="W54">
        <v>0</v>
      </c>
      <c r="X54">
        <v>0</v>
      </c>
      <c r="Y54">
        <v>0</v>
      </c>
      <c r="Z54">
        <v>0</v>
      </c>
      <c r="AA54" s="40">
        <v>0</v>
      </c>
      <c r="AE54" s="40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3">
      <c r="A55" s="6" t="s">
        <v>32</v>
      </c>
      <c r="B55">
        <v>46</v>
      </c>
      <c r="C55">
        <v>33</v>
      </c>
      <c r="G55" s="40">
        <v>0.26900000000000002</v>
      </c>
      <c r="H55" s="6">
        <v>92.1</v>
      </c>
      <c r="I55">
        <v>30</v>
      </c>
      <c r="J55">
        <v>299</v>
      </c>
      <c r="K55" s="40">
        <v>0</v>
      </c>
      <c r="L55">
        <v>940</v>
      </c>
      <c r="M55">
        <v>970</v>
      </c>
      <c r="N55">
        <v>0</v>
      </c>
      <c r="O55">
        <v>0</v>
      </c>
      <c r="P55">
        <v>0</v>
      </c>
      <c r="Q55">
        <v>0</v>
      </c>
      <c r="V55" s="40"/>
      <c r="AA55" s="40">
        <v>1.92</v>
      </c>
      <c r="AB55">
        <v>4</v>
      </c>
      <c r="AC55">
        <v>245</v>
      </c>
      <c r="AE55" s="40"/>
      <c r="AF55">
        <v>48.2</v>
      </c>
    </row>
    <row r="56" spans="1:36" x14ac:dyDescent="0.3">
      <c r="A56" s="6" t="s">
        <v>33</v>
      </c>
      <c r="B56">
        <v>80</v>
      </c>
      <c r="C56">
        <v>12.4</v>
      </c>
      <c r="E56">
        <v>2.7</v>
      </c>
      <c r="G56" s="40">
        <v>1.08</v>
      </c>
      <c r="H56" s="6">
        <v>49.76</v>
      </c>
      <c r="I56">
        <v>1500</v>
      </c>
      <c r="J56">
        <v>181</v>
      </c>
      <c r="K56" s="40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V56" s="40"/>
      <c r="AA56" s="40">
        <v>24.6</v>
      </c>
      <c r="AE56" s="40"/>
      <c r="AF56">
        <v>0</v>
      </c>
    </row>
    <row r="57" spans="1:36" x14ac:dyDescent="0.3">
      <c r="A57" s="6" t="s">
        <v>34</v>
      </c>
      <c r="B57">
        <v>20</v>
      </c>
      <c r="E57">
        <v>2</v>
      </c>
      <c r="G57" s="40">
        <v>1.08</v>
      </c>
      <c r="H57" s="6">
        <v>49.76</v>
      </c>
      <c r="I57">
        <v>1500</v>
      </c>
      <c r="J57">
        <v>181</v>
      </c>
      <c r="K57" s="40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V57" s="40"/>
      <c r="AA57" s="40">
        <v>24.6</v>
      </c>
      <c r="AE57" s="40"/>
      <c r="AF57">
        <v>0</v>
      </c>
    </row>
    <row r="58" spans="1:36" x14ac:dyDescent="0.3">
      <c r="A58" s="6" t="s">
        <v>35</v>
      </c>
      <c r="B58">
        <v>50</v>
      </c>
      <c r="C58">
        <v>13</v>
      </c>
      <c r="G58" s="40">
        <v>0.51</v>
      </c>
      <c r="H58" s="6">
        <v>95.4</v>
      </c>
      <c r="I58">
        <v>80</v>
      </c>
      <c r="J58">
        <v>260</v>
      </c>
      <c r="K58" s="40">
        <v>80</v>
      </c>
      <c r="L58">
        <v>400</v>
      </c>
      <c r="M58">
        <v>370</v>
      </c>
      <c r="N58">
        <v>0</v>
      </c>
      <c r="O58">
        <v>480</v>
      </c>
      <c r="P58">
        <v>0</v>
      </c>
      <c r="Q58">
        <v>0</v>
      </c>
      <c r="V58" s="40"/>
      <c r="AA58" s="40">
        <v>0.69</v>
      </c>
      <c r="AB58">
        <v>7.0000000000000007E-2</v>
      </c>
      <c r="AE58" s="40"/>
      <c r="AF58">
        <v>3.1</v>
      </c>
    </row>
    <row r="59" spans="1:36" x14ac:dyDescent="0.3">
      <c r="A59" s="6" t="s">
        <v>515</v>
      </c>
      <c r="B59">
        <v>0</v>
      </c>
      <c r="C59">
        <v>0</v>
      </c>
      <c r="D59">
        <v>0</v>
      </c>
      <c r="E59">
        <v>0</v>
      </c>
      <c r="F59">
        <v>0</v>
      </c>
      <c r="G59" s="40">
        <v>1.2170000000000001</v>
      </c>
      <c r="H59" s="6">
        <v>13</v>
      </c>
      <c r="I59">
        <v>33000</v>
      </c>
      <c r="J59">
        <v>227</v>
      </c>
      <c r="K59" s="40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V59" s="40">
        <v>0</v>
      </c>
      <c r="W59">
        <v>0</v>
      </c>
      <c r="X59">
        <v>0</v>
      </c>
      <c r="Y59">
        <v>0</v>
      </c>
      <c r="Z59">
        <v>0</v>
      </c>
      <c r="AA59" s="40">
        <v>0</v>
      </c>
      <c r="AE59" s="40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3">
      <c r="A60" s="6" t="s">
        <v>36</v>
      </c>
      <c r="B60">
        <v>292</v>
      </c>
      <c r="C60">
        <v>30</v>
      </c>
      <c r="G60" s="40">
        <v>1.04</v>
      </c>
      <c r="H60" s="6">
        <v>49.76</v>
      </c>
      <c r="I60">
        <v>629</v>
      </c>
      <c r="J60">
        <v>152</v>
      </c>
      <c r="K60" s="40">
        <v>0</v>
      </c>
      <c r="L60">
        <v>0</v>
      </c>
      <c r="M60">
        <v>0</v>
      </c>
      <c r="N60">
        <v>450</v>
      </c>
      <c r="O60">
        <v>0</v>
      </c>
      <c r="P60">
        <v>0</v>
      </c>
      <c r="Q60">
        <v>0</v>
      </c>
      <c r="V60" s="40"/>
      <c r="AA60" s="40">
        <v>20.8</v>
      </c>
      <c r="AE60" s="40"/>
      <c r="AF60">
        <v>0</v>
      </c>
    </row>
    <row r="61" spans="1:36" x14ac:dyDescent="0.3">
      <c r="A61" s="6" t="s">
        <v>37</v>
      </c>
      <c r="B61">
        <v>760</v>
      </c>
      <c r="C61">
        <v>288</v>
      </c>
      <c r="G61" s="40">
        <v>0.91600000000000004</v>
      </c>
      <c r="H61" s="6">
        <v>30</v>
      </c>
      <c r="I61">
        <v>1067</v>
      </c>
      <c r="J61">
        <v>95</v>
      </c>
      <c r="K61" s="40"/>
      <c r="V61" s="40"/>
      <c r="AA61" s="40">
        <v>21.5</v>
      </c>
      <c r="AE61" s="40"/>
    </row>
    <row r="62" spans="1:36" x14ac:dyDescent="0.3">
      <c r="A62" s="6" t="s">
        <v>253</v>
      </c>
      <c r="B62">
        <v>40.4</v>
      </c>
      <c r="G62" s="40">
        <v>0.91600000000000004</v>
      </c>
      <c r="H62" s="6">
        <v>55.57</v>
      </c>
      <c r="I62">
        <v>842</v>
      </c>
      <c r="J62">
        <v>187</v>
      </c>
      <c r="K62" s="40"/>
      <c r="V62" s="40"/>
      <c r="AA62" s="40"/>
      <c r="AE62" s="40"/>
    </row>
    <row r="63" spans="1:36" x14ac:dyDescent="0.3">
      <c r="A63" s="6" t="s">
        <v>197</v>
      </c>
      <c r="B63">
        <v>173</v>
      </c>
      <c r="C63">
        <v>17</v>
      </c>
      <c r="G63" s="40">
        <v>1.075</v>
      </c>
      <c r="H63" s="6">
        <v>38</v>
      </c>
      <c r="I63">
        <v>653</v>
      </c>
      <c r="J63">
        <v>76</v>
      </c>
      <c r="K63" s="40">
        <v>0</v>
      </c>
      <c r="L63">
        <v>260</v>
      </c>
      <c r="M63">
        <v>0</v>
      </c>
      <c r="N63">
        <v>120</v>
      </c>
      <c r="O63">
        <v>100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40">
        <v>0</v>
      </c>
      <c r="W63">
        <v>0</v>
      </c>
      <c r="X63">
        <v>0</v>
      </c>
      <c r="Y63">
        <v>0</v>
      </c>
      <c r="Z63">
        <v>0</v>
      </c>
      <c r="AA63" s="40">
        <v>22.9</v>
      </c>
      <c r="AE63" s="40"/>
      <c r="AF63">
        <v>0</v>
      </c>
    </row>
    <row r="64" spans="1:36" x14ac:dyDescent="0.3">
      <c r="A64" s="6" t="s">
        <v>196</v>
      </c>
      <c r="B64">
        <v>258</v>
      </c>
      <c r="C64">
        <v>23</v>
      </c>
      <c r="G64" s="40">
        <v>1.075</v>
      </c>
      <c r="H64" s="6">
        <v>37</v>
      </c>
      <c r="I64">
        <v>653</v>
      </c>
      <c r="J64">
        <v>76</v>
      </c>
      <c r="K64" s="40">
        <v>0</v>
      </c>
      <c r="L64">
        <v>260</v>
      </c>
      <c r="M64">
        <v>0</v>
      </c>
      <c r="N64">
        <v>120</v>
      </c>
      <c r="O64">
        <v>100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40">
        <v>0</v>
      </c>
      <c r="W64">
        <v>0</v>
      </c>
      <c r="X64">
        <v>0</v>
      </c>
      <c r="Y64">
        <v>0</v>
      </c>
      <c r="Z64">
        <v>0</v>
      </c>
      <c r="AA64" s="40">
        <v>22.9</v>
      </c>
      <c r="AE64" s="40"/>
      <c r="AF64">
        <v>0</v>
      </c>
    </row>
    <row r="65" spans="1:32" x14ac:dyDescent="0.3">
      <c r="A65" s="6" t="s">
        <v>195</v>
      </c>
      <c r="B65">
        <v>718</v>
      </c>
      <c r="C65">
        <v>93</v>
      </c>
      <c r="G65" s="40">
        <v>1.075</v>
      </c>
      <c r="H65" s="6">
        <v>35</v>
      </c>
      <c r="I65">
        <v>653</v>
      </c>
      <c r="J65">
        <v>76</v>
      </c>
      <c r="K65" s="40">
        <v>0</v>
      </c>
      <c r="L65">
        <v>260</v>
      </c>
      <c r="M65">
        <v>0</v>
      </c>
      <c r="N65">
        <v>120</v>
      </c>
      <c r="O65">
        <v>100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s="40">
        <v>0</v>
      </c>
      <c r="W65">
        <v>0</v>
      </c>
      <c r="X65">
        <v>0</v>
      </c>
      <c r="Y65">
        <v>0</v>
      </c>
      <c r="Z65">
        <v>0</v>
      </c>
      <c r="AA65" s="40">
        <v>22.9</v>
      </c>
      <c r="AE65" s="40"/>
      <c r="AF65">
        <v>0</v>
      </c>
    </row>
    <row r="66" spans="1:32" x14ac:dyDescent="0.3">
      <c r="A66" s="6" t="s">
        <v>198</v>
      </c>
      <c r="B66">
        <v>539</v>
      </c>
      <c r="C66">
        <v>399</v>
      </c>
      <c r="G66" s="40">
        <v>0.91600000000000004</v>
      </c>
      <c r="H66" s="6">
        <v>39.29</v>
      </c>
      <c r="I66">
        <v>357</v>
      </c>
      <c r="J66">
        <v>121</v>
      </c>
      <c r="K66" s="40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40">
        <v>0</v>
      </c>
      <c r="W66">
        <v>0</v>
      </c>
      <c r="X66">
        <v>0</v>
      </c>
      <c r="Y66">
        <v>0</v>
      </c>
      <c r="Z66">
        <v>0</v>
      </c>
      <c r="AA66" s="40">
        <v>25</v>
      </c>
      <c r="AE66" s="40"/>
    </row>
    <row r="67" spans="1:32" x14ac:dyDescent="0.3">
      <c r="A67" s="6" t="s">
        <v>199</v>
      </c>
      <c r="B67">
        <v>1570</v>
      </c>
      <c r="C67">
        <v>248</v>
      </c>
      <c r="G67" s="40">
        <v>0.91600000000000004</v>
      </c>
      <c r="H67" s="6">
        <v>39.29</v>
      </c>
      <c r="I67">
        <v>357</v>
      </c>
      <c r="J67">
        <v>121</v>
      </c>
      <c r="K67" s="40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s="40">
        <v>0</v>
      </c>
      <c r="W67">
        <v>0</v>
      </c>
      <c r="X67">
        <v>0</v>
      </c>
      <c r="Y67">
        <v>0</v>
      </c>
      <c r="Z67">
        <v>0</v>
      </c>
      <c r="AA67" s="40">
        <v>25</v>
      </c>
      <c r="AE67" s="40"/>
    </row>
    <row r="68" spans="1:32" x14ac:dyDescent="0.3">
      <c r="A68" s="6" t="s">
        <v>254</v>
      </c>
      <c r="B68">
        <v>0.05</v>
      </c>
      <c r="G68" s="40">
        <v>0.96</v>
      </c>
      <c r="H68" s="6">
        <v>78.099999999999994</v>
      </c>
      <c r="I68">
        <v>315</v>
      </c>
      <c r="J68">
        <v>104</v>
      </c>
      <c r="K68" s="40">
        <v>0</v>
      </c>
      <c r="L68">
        <v>0</v>
      </c>
      <c r="M68">
        <v>0</v>
      </c>
      <c r="N68">
        <v>2670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40">
        <v>0</v>
      </c>
      <c r="W68">
        <v>0</v>
      </c>
      <c r="X68">
        <v>0</v>
      </c>
      <c r="Y68">
        <v>0</v>
      </c>
      <c r="Z68">
        <v>0</v>
      </c>
      <c r="AA68" s="40">
        <v>11.1</v>
      </c>
      <c r="AE68" s="40"/>
      <c r="AF68">
        <v>0</v>
      </c>
    </row>
    <row r="69" spans="1:32" x14ac:dyDescent="0.3">
      <c r="A69" s="6" t="s">
        <v>38</v>
      </c>
      <c r="B69">
        <v>310</v>
      </c>
      <c r="C69">
        <v>10</v>
      </c>
      <c r="G69" s="40">
        <v>0.91600000000000004</v>
      </c>
      <c r="H69" s="6">
        <v>41</v>
      </c>
      <c r="I69">
        <v>171</v>
      </c>
      <c r="J69">
        <v>79</v>
      </c>
      <c r="K69" s="40"/>
      <c r="V69" s="40"/>
      <c r="AA69" s="40">
        <v>28.57</v>
      </c>
      <c r="AE69" s="40"/>
      <c r="AF69">
        <v>0</v>
      </c>
    </row>
    <row r="70" spans="1:32" x14ac:dyDescent="0.3">
      <c r="A70" s="6" t="s">
        <v>39</v>
      </c>
      <c r="B70">
        <v>157</v>
      </c>
      <c r="C70">
        <v>9</v>
      </c>
      <c r="G70" s="40">
        <v>0.91600000000000004</v>
      </c>
      <c r="H70" s="6">
        <v>39.5</v>
      </c>
      <c r="I70">
        <v>713</v>
      </c>
      <c r="J70">
        <v>0</v>
      </c>
      <c r="K70" s="40"/>
      <c r="V70" s="40"/>
      <c r="AA70" s="40">
        <v>17</v>
      </c>
      <c r="AE70" s="40"/>
    </row>
    <row r="71" spans="1:32" x14ac:dyDescent="0.3">
      <c r="A71" s="6" t="s">
        <v>40</v>
      </c>
      <c r="B71">
        <v>4</v>
      </c>
      <c r="C71">
        <v>0</v>
      </c>
      <c r="G71" s="40">
        <v>1.04</v>
      </c>
      <c r="H71" s="6">
        <v>55</v>
      </c>
      <c r="I71">
        <v>1140</v>
      </c>
      <c r="J71">
        <v>62</v>
      </c>
      <c r="K71" s="40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40">
        <v>0</v>
      </c>
      <c r="W71">
        <v>0</v>
      </c>
      <c r="X71">
        <v>0</v>
      </c>
      <c r="Y71">
        <v>0</v>
      </c>
      <c r="Z71">
        <v>0</v>
      </c>
      <c r="AA71" s="40">
        <v>14.2</v>
      </c>
      <c r="AE71" s="40"/>
      <c r="AF71">
        <v>0</v>
      </c>
    </row>
    <row r="72" spans="1:32" x14ac:dyDescent="0.3">
      <c r="A72" s="6" t="s">
        <v>41</v>
      </c>
      <c r="B72">
        <v>614</v>
      </c>
      <c r="C72">
        <v>276</v>
      </c>
      <c r="G72" s="40">
        <v>0.91600000000000004</v>
      </c>
      <c r="H72" s="6">
        <v>39.5</v>
      </c>
      <c r="I72">
        <v>857</v>
      </c>
      <c r="J72">
        <v>107</v>
      </c>
      <c r="K72" s="40"/>
      <c r="V72" s="40"/>
      <c r="AA72" s="40"/>
      <c r="AE72" s="40"/>
    </row>
    <row r="73" spans="1:32" x14ac:dyDescent="0.3">
      <c r="A73" s="6" t="s">
        <v>42</v>
      </c>
      <c r="B73">
        <v>295</v>
      </c>
      <c r="C73">
        <v>18</v>
      </c>
      <c r="G73" s="40">
        <v>1.048</v>
      </c>
      <c r="H73" s="6">
        <v>45</v>
      </c>
      <c r="I73">
        <v>819</v>
      </c>
      <c r="J73">
        <v>121</v>
      </c>
      <c r="K73" s="40">
        <v>0</v>
      </c>
      <c r="L73">
        <v>0</v>
      </c>
      <c r="M73">
        <v>0</v>
      </c>
      <c r="N73">
        <v>2220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40">
        <v>0</v>
      </c>
      <c r="W73">
        <v>0</v>
      </c>
      <c r="X73">
        <v>0</v>
      </c>
      <c r="Y73">
        <v>0</v>
      </c>
      <c r="Z73">
        <v>0</v>
      </c>
      <c r="AA73" s="40">
        <v>24.9</v>
      </c>
      <c r="AE73" s="40"/>
      <c r="AF73">
        <v>0</v>
      </c>
    </row>
    <row r="74" spans="1:32" x14ac:dyDescent="0.3">
      <c r="A74" s="6" t="s">
        <v>43</v>
      </c>
      <c r="B74">
        <v>48</v>
      </c>
      <c r="C74">
        <v>18</v>
      </c>
      <c r="G74" s="40">
        <v>1.04</v>
      </c>
      <c r="H74" s="6">
        <v>34.549999999999997</v>
      </c>
      <c r="I74">
        <v>714</v>
      </c>
      <c r="J74">
        <v>54</v>
      </c>
      <c r="K74" s="40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40">
        <v>0</v>
      </c>
      <c r="W74">
        <v>0</v>
      </c>
      <c r="X74">
        <v>0</v>
      </c>
      <c r="Y74">
        <v>0</v>
      </c>
      <c r="Z74">
        <v>0</v>
      </c>
      <c r="AA74" s="40">
        <v>25</v>
      </c>
      <c r="AD74">
        <v>3.5</v>
      </c>
      <c r="AE74" s="40"/>
      <c r="AF74">
        <v>0</v>
      </c>
    </row>
    <row r="75" spans="1:32" x14ac:dyDescent="0.3">
      <c r="A75" s="6" t="s">
        <v>44</v>
      </c>
      <c r="B75">
        <v>295</v>
      </c>
      <c r="C75">
        <v>49</v>
      </c>
      <c r="G75" s="40">
        <v>0.91600000000000004</v>
      </c>
      <c r="H75" s="6">
        <v>36</v>
      </c>
      <c r="I75">
        <v>750</v>
      </c>
      <c r="J75">
        <v>0</v>
      </c>
      <c r="K75" s="40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40">
        <v>0</v>
      </c>
      <c r="W75">
        <v>0</v>
      </c>
      <c r="X75">
        <v>0</v>
      </c>
      <c r="Y75">
        <v>0</v>
      </c>
      <c r="Z75">
        <v>0</v>
      </c>
      <c r="AA75" s="40">
        <v>25</v>
      </c>
      <c r="AD75">
        <v>5.9</v>
      </c>
      <c r="AE75" s="40"/>
    </row>
    <row r="76" spans="1:32" x14ac:dyDescent="0.3">
      <c r="A76" s="6" t="s">
        <v>45</v>
      </c>
      <c r="B76">
        <v>0</v>
      </c>
      <c r="C76">
        <v>0</v>
      </c>
      <c r="G76" s="40">
        <v>0.47199999999999998</v>
      </c>
      <c r="H76" s="6">
        <v>48.5</v>
      </c>
      <c r="I76">
        <v>486</v>
      </c>
      <c r="J76">
        <v>76</v>
      </c>
      <c r="K76" s="40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40">
        <v>0</v>
      </c>
      <c r="W76">
        <v>0</v>
      </c>
      <c r="X76">
        <v>0</v>
      </c>
      <c r="Y76">
        <v>0</v>
      </c>
      <c r="Z76">
        <v>0</v>
      </c>
      <c r="AA76" s="40">
        <v>22.2</v>
      </c>
      <c r="AE76" s="40"/>
      <c r="AF76">
        <v>0</v>
      </c>
    </row>
    <row r="77" spans="1:32" x14ac:dyDescent="0.3">
      <c r="A77" s="6" t="s">
        <v>46</v>
      </c>
      <c r="B77">
        <v>1180</v>
      </c>
      <c r="C77">
        <v>260</v>
      </c>
      <c r="G77" s="40">
        <v>0.63</v>
      </c>
      <c r="H77" s="6">
        <v>29.16</v>
      </c>
      <c r="I77">
        <v>643</v>
      </c>
      <c r="J77">
        <v>107</v>
      </c>
      <c r="K77" s="40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40">
        <v>0</v>
      </c>
      <c r="W77">
        <v>0</v>
      </c>
      <c r="X77">
        <v>0</v>
      </c>
      <c r="Y77">
        <v>0</v>
      </c>
      <c r="Z77">
        <v>0</v>
      </c>
      <c r="AA77" s="40">
        <v>32.14</v>
      </c>
      <c r="AE77" s="40"/>
    </row>
    <row r="78" spans="1:32" x14ac:dyDescent="0.3">
      <c r="A78" s="6" t="s">
        <v>200</v>
      </c>
      <c r="B78">
        <v>1680</v>
      </c>
      <c r="C78">
        <v>414</v>
      </c>
      <c r="G78" s="40">
        <v>0.63</v>
      </c>
      <c r="H78" s="6">
        <v>29.16</v>
      </c>
      <c r="I78">
        <v>643</v>
      </c>
      <c r="J78">
        <v>107</v>
      </c>
      <c r="K78" s="40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40">
        <v>0</v>
      </c>
      <c r="W78">
        <v>0</v>
      </c>
      <c r="X78">
        <v>0</v>
      </c>
      <c r="Y78">
        <v>0</v>
      </c>
      <c r="Z78">
        <v>0</v>
      </c>
      <c r="AA78" s="40">
        <v>32.14</v>
      </c>
      <c r="AE78" s="40"/>
    </row>
    <row r="79" spans="1:32" x14ac:dyDescent="0.3">
      <c r="A79" s="6" t="s">
        <v>201</v>
      </c>
      <c r="B79">
        <v>2220</v>
      </c>
      <c r="C79">
        <v>580</v>
      </c>
      <c r="G79" s="40">
        <v>0.63</v>
      </c>
      <c r="H79" s="6">
        <v>29.16</v>
      </c>
      <c r="I79">
        <v>643</v>
      </c>
      <c r="J79">
        <v>107</v>
      </c>
      <c r="K79" s="40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40">
        <v>0</v>
      </c>
      <c r="W79">
        <v>0</v>
      </c>
      <c r="X79">
        <v>0</v>
      </c>
      <c r="Y79">
        <v>0</v>
      </c>
      <c r="Z79">
        <v>0</v>
      </c>
      <c r="AA79" s="40">
        <v>32.14</v>
      </c>
      <c r="AE79" s="40"/>
    </row>
    <row r="80" spans="1:32" x14ac:dyDescent="0.3">
      <c r="A80" s="6" t="s">
        <v>47</v>
      </c>
      <c r="B80">
        <v>471</v>
      </c>
      <c r="C80">
        <v>107</v>
      </c>
      <c r="G80" s="40">
        <v>1.06</v>
      </c>
      <c r="H80" s="6">
        <v>42.41</v>
      </c>
      <c r="I80">
        <v>1810</v>
      </c>
      <c r="J80">
        <v>91</v>
      </c>
      <c r="K80" s="40">
        <v>0</v>
      </c>
      <c r="L80">
        <v>0</v>
      </c>
      <c r="M80">
        <v>0</v>
      </c>
      <c r="N80">
        <v>2000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40">
        <v>0</v>
      </c>
      <c r="W80">
        <v>0</v>
      </c>
      <c r="X80">
        <v>0</v>
      </c>
      <c r="Y80">
        <v>0</v>
      </c>
      <c r="Z80">
        <v>0</v>
      </c>
      <c r="AA80" s="40">
        <v>21.5</v>
      </c>
      <c r="AE80" s="40"/>
      <c r="AF80">
        <v>0</v>
      </c>
    </row>
    <row r="81" spans="1:36" x14ac:dyDescent="0.3">
      <c r="A81" s="6" t="s">
        <v>48</v>
      </c>
      <c r="B81">
        <v>90</v>
      </c>
      <c r="G81" s="40">
        <v>0.56000000000000005</v>
      </c>
      <c r="H81" s="6">
        <v>40.479999999999997</v>
      </c>
      <c r="I81">
        <v>2</v>
      </c>
      <c r="J81">
        <v>592</v>
      </c>
      <c r="K81" s="40">
        <v>10600</v>
      </c>
      <c r="L81">
        <v>500</v>
      </c>
      <c r="M81">
        <v>500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40"/>
      <c r="AA81" s="40">
        <v>3.17</v>
      </c>
      <c r="AE81" s="40"/>
      <c r="AF81">
        <v>26</v>
      </c>
    </row>
    <row r="82" spans="1:36" x14ac:dyDescent="0.3">
      <c r="A82" s="6" t="s">
        <v>49</v>
      </c>
      <c r="B82">
        <v>35</v>
      </c>
      <c r="E82">
        <v>190</v>
      </c>
      <c r="G82" s="40">
        <v>0.87</v>
      </c>
      <c r="H82" s="6">
        <v>73.900000000000006</v>
      </c>
      <c r="I82">
        <v>45</v>
      </c>
      <c r="J82">
        <v>334</v>
      </c>
      <c r="K82" s="40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40"/>
      <c r="AA82" s="40">
        <v>22.5</v>
      </c>
      <c r="AB82">
        <v>9.52</v>
      </c>
      <c r="AE82" s="40"/>
      <c r="AF82">
        <v>0</v>
      </c>
    </row>
    <row r="83" spans="1:36" x14ac:dyDescent="0.3">
      <c r="A83" s="6" t="s">
        <v>255</v>
      </c>
      <c r="B83">
        <v>143</v>
      </c>
      <c r="G83" s="40">
        <v>0.93</v>
      </c>
      <c r="H83" s="6">
        <v>61.4</v>
      </c>
      <c r="I83">
        <v>335</v>
      </c>
      <c r="J83">
        <v>255</v>
      </c>
      <c r="K83" s="40">
        <v>40</v>
      </c>
      <c r="L83">
        <v>40</v>
      </c>
      <c r="M83">
        <v>40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40"/>
      <c r="AA83" s="40">
        <v>22.5</v>
      </c>
      <c r="AB83">
        <v>8.6999999999999993</v>
      </c>
      <c r="AE83" s="40"/>
      <c r="AF83">
        <v>0</v>
      </c>
    </row>
    <row r="84" spans="1:36" x14ac:dyDescent="0.3">
      <c r="A84" s="6" t="s">
        <v>289</v>
      </c>
      <c r="B84">
        <v>205</v>
      </c>
      <c r="G84" s="40">
        <v>1</v>
      </c>
      <c r="H84" s="6">
        <v>92</v>
      </c>
      <c r="I84">
        <v>282</v>
      </c>
      <c r="J84">
        <v>105</v>
      </c>
      <c r="K84" s="40">
        <v>820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40"/>
      <c r="AA84" s="40">
        <v>2.4500000000000002</v>
      </c>
      <c r="AE84" s="40"/>
      <c r="AF84">
        <v>0</v>
      </c>
    </row>
    <row r="85" spans="1:36" x14ac:dyDescent="0.3">
      <c r="A85" s="6" t="s">
        <v>50</v>
      </c>
      <c r="B85">
        <v>32</v>
      </c>
      <c r="C85">
        <v>137</v>
      </c>
      <c r="G85" s="40">
        <v>0.63</v>
      </c>
      <c r="H85" s="6">
        <v>88</v>
      </c>
      <c r="I85">
        <v>9</v>
      </c>
      <c r="J85">
        <v>322</v>
      </c>
      <c r="K85" s="40">
        <v>0</v>
      </c>
      <c r="L85">
        <v>2573</v>
      </c>
      <c r="M85">
        <v>2861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40"/>
      <c r="AA85" s="40">
        <v>1.87</v>
      </c>
      <c r="AE85" s="40"/>
      <c r="AF85">
        <v>144</v>
      </c>
    </row>
    <row r="86" spans="1:36" x14ac:dyDescent="0.3">
      <c r="A86" s="6" t="s">
        <v>287</v>
      </c>
      <c r="B86">
        <v>25</v>
      </c>
      <c r="C86">
        <v>10</v>
      </c>
      <c r="G86" s="40">
        <v>0.2</v>
      </c>
      <c r="H86" s="6">
        <v>92.15</v>
      </c>
      <c r="I86">
        <v>3</v>
      </c>
      <c r="J86">
        <v>296</v>
      </c>
      <c r="K86" s="40">
        <v>0</v>
      </c>
      <c r="L86">
        <v>925</v>
      </c>
      <c r="M86">
        <v>925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40"/>
      <c r="AA86" s="40">
        <v>3.27</v>
      </c>
      <c r="AE86" s="40"/>
      <c r="AF86">
        <v>58.1</v>
      </c>
    </row>
    <row r="87" spans="1:36" x14ac:dyDescent="0.3">
      <c r="A87" s="6" t="s">
        <v>51</v>
      </c>
      <c r="B87">
        <v>80</v>
      </c>
      <c r="C87">
        <v>8</v>
      </c>
      <c r="G87" s="40">
        <v>0.22</v>
      </c>
      <c r="H87" s="6">
        <v>91.4</v>
      </c>
      <c r="I87">
        <v>118</v>
      </c>
      <c r="J87">
        <v>567</v>
      </c>
      <c r="K87" s="40">
        <v>1564</v>
      </c>
      <c r="L87">
        <v>3360</v>
      </c>
      <c r="M87">
        <v>82</v>
      </c>
      <c r="N87">
        <v>0</v>
      </c>
      <c r="O87">
        <v>136</v>
      </c>
      <c r="P87">
        <v>0</v>
      </c>
      <c r="Q87">
        <v>0</v>
      </c>
      <c r="R87">
        <v>0</v>
      </c>
      <c r="S87">
        <v>0</v>
      </c>
      <c r="T87">
        <v>0</v>
      </c>
      <c r="U87">
        <v>41</v>
      </c>
      <c r="V87" s="40"/>
      <c r="AA87" s="40">
        <v>3.36</v>
      </c>
      <c r="AE87" s="40"/>
      <c r="AF87">
        <v>1.4</v>
      </c>
    </row>
    <row r="88" spans="1:36" x14ac:dyDescent="0.3">
      <c r="A88" s="6" t="s">
        <v>52</v>
      </c>
      <c r="B88">
        <v>180</v>
      </c>
      <c r="C88">
        <v>18</v>
      </c>
      <c r="D88">
        <v>28</v>
      </c>
      <c r="G88" s="40">
        <v>0.77</v>
      </c>
      <c r="H88" s="6">
        <v>31</v>
      </c>
      <c r="I88">
        <v>601</v>
      </c>
      <c r="J88">
        <v>46</v>
      </c>
      <c r="K88" s="40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40"/>
      <c r="AA88" s="40">
        <v>14.7</v>
      </c>
      <c r="AD88">
        <v>1.7999999999999999E-2</v>
      </c>
      <c r="AE88" s="40"/>
      <c r="AF88">
        <v>0</v>
      </c>
    </row>
    <row r="89" spans="1:36" x14ac:dyDescent="0.3">
      <c r="A89" s="6" t="s">
        <v>53</v>
      </c>
      <c r="B89">
        <v>22</v>
      </c>
      <c r="C89">
        <v>5</v>
      </c>
      <c r="G89" s="40">
        <v>1.02</v>
      </c>
      <c r="H89" s="6">
        <v>75.2</v>
      </c>
      <c r="I89">
        <v>19</v>
      </c>
      <c r="J89">
        <v>19</v>
      </c>
      <c r="K89" s="40">
        <v>890</v>
      </c>
      <c r="L89">
        <v>250</v>
      </c>
      <c r="M89">
        <v>250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40">
        <v>0</v>
      </c>
      <c r="W89">
        <v>1500</v>
      </c>
      <c r="X89">
        <v>0</v>
      </c>
      <c r="Y89">
        <v>0</v>
      </c>
      <c r="Z89">
        <v>0</v>
      </c>
      <c r="AA89" s="40">
        <v>0.21</v>
      </c>
      <c r="AE89" s="40"/>
      <c r="AF89">
        <v>0</v>
      </c>
    </row>
    <row r="90" spans="1:36" x14ac:dyDescent="0.3">
      <c r="A90" s="6" t="s">
        <v>561</v>
      </c>
      <c r="B90">
        <v>0</v>
      </c>
      <c r="C90">
        <v>0</v>
      </c>
      <c r="D90">
        <v>0</v>
      </c>
      <c r="E90">
        <v>0</v>
      </c>
      <c r="F90">
        <v>0</v>
      </c>
      <c r="G90" s="40">
        <v>0.81</v>
      </c>
      <c r="H90" s="6">
        <v>0.78</v>
      </c>
      <c r="I90">
        <v>75</v>
      </c>
      <c r="J90">
        <v>875</v>
      </c>
      <c r="K90" s="40">
        <v>74500</v>
      </c>
      <c r="L90">
        <v>6000</v>
      </c>
      <c r="M90">
        <v>6000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40">
        <v>0</v>
      </c>
      <c r="W90">
        <v>0</v>
      </c>
      <c r="X90">
        <v>0</v>
      </c>
      <c r="Y90">
        <v>0</v>
      </c>
      <c r="Z90">
        <v>0</v>
      </c>
      <c r="AA90" s="40">
        <v>0</v>
      </c>
      <c r="AB90">
        <v>0</v>
      </c>
      <c r="AC90">
        <v>0</v>
      </c>
      <c r="AE90" s="4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3">
      <c r="A91" s="6" t="s">
        <v>286</v>
      </c>
      <c r="B91">
        <v>84</v>
      </c>
      <c r="C91">
        <v>60</v>
      </c>
      <c r="G91" s="40">
        <v>0.65</v>
      </c>
      <c r="H91" s="6">
        <v>50</v>
      </c>
      <c r="I91">
        <v>9</v>
      </c>
      <c r="J91">
        <v>82</v>
      </c>
      <c r="K91" s="40">
        <v>6470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40"/>
      <c r="AA91" s="40">
        <v>2.35</v>
      </c>
      <c r="AE91" s="40"/>
      <c r="AF91">
        <v>213</v>
      </c>
    </row>
    <row r="92" spans="1:36" x14ac:dyDescent="0.3">
      <c r="A92" s="6" t="s">
        <v>560</v>
      </c>
      <c r="B92">
        <v>0</v>
      </c>
      <c r="C92">
        <v>0</v>
      </c>
      <c r="D92">
        <v>0</v>
      </c>
      <c r="E92">
        <v>0</v>
      </c>
      <c r="F92">
        <v>0</v>
      </c>
      <c r="G92" s="40">
        <v>0.80100000000000005</v>
      </c>
      <c r="H92" s="6">
        <v>0.06</v>
      </c>
      <c r="I92">
        <v>0</v>
      </c>
      <c r="J92">
        <v>0</v>
      </c>
      <c r="K92" s="40">
        <v>99940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S92">
        <v>0</v>
      </c>
      <c r="T92">
        <v>0</v>
      </c>
      <c r="U92">
        <v>0</v>
      </c>
      <c r="V92" s="40">
        <v>0</v>
      </c>
      <c r="W92">
        <v>0</v>
      </c>
      <c r="X92">
        <v>0</v>
      </c>
      <c r="Y92">
        <v>0</v>
      </c>
      <c r="Z92">
        <v>0</v>
      </c>
      <c r="AA92" s="40">
        <v>0</v>
      </c>
      <c r="AB92">
        <v>0</v>
      </c>
      <c r="AC92">
        <v>0</v>
      </c>
      <c r="AE92" s="40">
        <v>0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1:36" x14ac:dyDescent="0.3">
      <c r="A93" s="6" t="s">
        <v>54</v>
      </c>
      <c r="B93">
        <v>1.6</v>
      </c>
      <c r="C93">
        <v>3</v>
      </c>
      <c r="G93" s="40">
        <v>0.34</v>
      </c>
      <c r="H93" s="6">
        <v>92</v>
      </c>
      <c r="I93">
        <v>46</v>
      </c>
      <c r="J93">
        <v>521</v>
      </c>
      <c r="K93" s="40">
        <v>219</v>
      </c>
      <c r="L93">
        <v>877</v>
      </c>
      <c r="M93">
        <v>179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40"/>
      <c r="AA93" s="40">
        <v>2.13</v>
      </c>
      <c r="AE93" s="40"/>
      <c r="AF93">
        <v>27</v>
      </c>
    </row>
    <row r="94" spans="1:36" x14ac:dyDescent="0.3">
      <c r="A94" s="6" t="s">
        <v>275</v>
      </c>
      <c r="B94">
        <v>90</v>
      </c>
      <c r="C94">
        <v>11</v>
      </c>
      <c r="G94" s="40">
        <v>0.72</v>
      </c>
      <c r="H94" s="6">
        <v>24</v>
      </c>
      <c r="I94">
        <v>15</v>
      </c>
      <c r="J94">
        <v>270</v>
      </c>
      <c r="K94" s="40">
        <v>890</v>
      </c>
      <c r="L94">
        <v>3430</v>
      </c>
      <c r="M94">
        <v>1940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40"/>
      <c r="AA94" s="40">
        <v>3.27</v>
      </c>
      <c r="AB94">
        <v>2.1</v>
      </c>
      <c r="AE94" s="40"/>
      <c r="AF94">
        <v>6.8</v>
      </c>
    </row>
    <row r="95" spans="1:36" x14ac:dyDescent="0.3">
      <c r="A95" s="6" t="s">
        <v>256</v>
      </c>
      <c r="B95">
        <v>49.6</v>
      </c>
      <c r="G95" s="40">
        <v>0.69</v>
      </c>
      <c r="H95" s="6">
        <v>82.02</v>
      </c>
      <c r="I95">
        <v>205</v>
      </c>
      <c r="J95">
        <v>182</v>
      </c>
      <c r="K95" s="40">
        <v>3900</v>
      </c>
      <c r="L95">
        <v>280</v>
      </c>
      <c r="M95">
        <v>180</v>
      </c>
      <c r="N95">
        <v>0</v>
      </c>
      <c r="O95">
        <v>0</v>
      </c>
      <c r="P95">
        <v>80</v>
      </c>
      <c r="Q95">
        <v>0</v>
      </c>
      <c r="R95">
        <v>0</v>
      </c>
      <c r="S95">
        <v>0</v>
      </c>
      <c r="T95">
        <v>0</v>
      </c>
      <c r="U95">
        <v>0</v>
      </c>
      <c r="V95" s="40"/>
      <c r="AA95" s="40">
        <v>2.29</v>
      </c>
      <c r="AB95">
        <v>1.7</v>
      </c>
      <c r="AE95" s="40"/>
      <c r="AF95">
        <v>1.8</v>
      </c>
    </row>
    <row r="96" spans="1:36" x14ac:dyDescent="0.3">
      <c r="A96" s="6" t="s">
        <v>55</v>
      </c>
      <c r="B96">
        <v>72</v>
      </c>
      <c r="C96">
        <v>10</v>
      </c>
      <c r="G96" s="40">
        <v>0.96</v>
      </c>
      <c r="H96" s="6">
        <v>78.78</v>
      </c>
      <c r="I96">
        <v>1070</v>
      </c>
      <c r="J96">
        <v>262</v>
      </c>
      <c r="K96" s="40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s="40"/>
      <c r="AA96" s="40">
        <v>19.399999999999999</v>
      </c>
      <c r="AE96" s="40"/>
      <c r="AF96">
        <v>7.6</v>
      </c>
    </row>
    <row r="97" spans="1:36" x14ac:dyDescent="0.3">
      <c r="A97" s="6" t="s">
        <v>56</v>
      </c>
      <c r="B97">
        <v>43</v>
      </c>
      <c r="C97">
        <v>15</v>
      </c>
      <c r="G97" s="40">
        <v>0.96</v>
      </c>
      <c r="H97" s="6">
        <v>81.06</v>
      </c>
      <c r="I97">
        <v>293</v>
      </c>
      <c r="J97">
        <v>329</v>
      </c>
      <c r="K97" s="40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40"/>
      <c r="AA97" s="40">
        <v>18.100000000000001</v>
      </c>
      <c r="AE97" s="40"/>
      <c r="AF97">
        <v>3</v>
      </c>
    </row>
    <row r="98" spans="1:36" x14ac:dyDescent="0.3">
      <c r="A98" s="6" t="s">
        <v>57</v>
      </c>
      <c r="B98">
        <v>11</v>
      </c>
      <c r="C98">
        <v>6</v>
      </c>
      <c r="D98">
        <v>32</v>
      </c>
      <c r="E98">
        <v>5</v>
      </c>
      <c r="F98">
        <v>4</v>
      </c>
      <c r="G98" s="40">
        <v>0.96</v>
      </c>
      <c r="H98" s="6">
        <v>81.349999999999994</v>
      </c>
      <c r="I98">
        <v>765</v>
      </c>
      <c r="J98">
        <v>200</v>
      </c>
      <c r="K98" s="40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40"/>
      <c r="AA98" s="40">
        <v>17.649999999999999</v>
      </c>
      <c r="AE98" s="40"/>
      <c r="AF98">
        <v>0</v>
      </c>
    </row>
    <row r="99" spans="1:36" x14ac:dyDescent="0.3">
      <c r="A99" s="6" t="s">
        <v>58</v>
      </c>
      <c r="B99">
        <v>10</v>
      </c>
      <c r="C99">
        <v>5</v>
      </c>
      <c r="G99" s="40">
        <v>0.64100000000000001</v>
      </c>
      <c r="H99" s="6">
        <v>95.2</v>
      </c>
      <c r="I99">
        <v>2</v>
      </c>
      <c r="J99">
        <v>147</v>
      </c>
      <c r="K99" s="40">
        <v>30</v>
      </c>
      <c r="L99">
        <v>760</v>
      </c>
      <c r="M99">
        <v>870</v>
      </c>
      <c r="N99">
        <v>0</v>
      </c>
      <c r="O99">
        <v>0</v>
      </c>
      <c r="P99">
        <v>10</v>
      </c>
      <c r="Q99">
        <v>0</v>
      </c>
      <c r="R99">
        <v>0</v>
      </c>
      <c r="S99">
        <v>0</v>
      </c>
      <c r="T99">
        <v>0</v>
      </c>
      <c r="U99">
        <v>0</v>
      </c>
      <c r="V99" s="40"/>
      <c r="AA99" s="40">
        <v>0.65</v>
      </c>
      <c r="AB99">
        <v>15.4</v>
      </c>
      <c r="AE99" s="40"/>
      <c r="AF99">
        <v>2.8</v>
      </c>
    </row>
    <row r="100" spans="1:36" x14ac:dyDescent="0.3">
      <c r="A100" s="6" t="s">
        <v>59</v>
      </c>
      <c r="B100">
        <v>81</v>
      </c>
      <c r="G100" s="40">
        <v>0.41</v>
      </c>
      <c r="H100" s="6">
        <v>14.5</v>
      </c>
      <c r="I100">
        <v>168</v>
      </c>
      <c r="J100">
        <v>1790</v>
      </c>
      <c r="K100" s="40">
        <v>180</v>
      </c>
      <c r="L100">
        <v>370</v>
      </c>
      <c r="M100">
        <v>370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40"/>
      <c r="AA100" s="40">
        <v>17.8</v>
      </c>
      <c r="AE100" s="40"/>
      <c r="AF100">
        <v>7.7</v>
      </c>
    </row>
    <row r="101" spans="1:36" x14ac:dyDescent="0.3">
      <c r="A101" s="6" t="s">
        <v>550</v>
      </c>
      <c r="B101">
        <v>0</v>
      </c>
      <c r="C101">
        <v>0</v>
      </c>
      <c r="D101">
        <v>0</v>
      </c>
      <c r="E101">
        <v>0</v>
      </c>
      <c r="F101">
        <v>0</v>
      </c>
      <c r="G101" s="40">
        <v>0.91</v>
      </c>
      <c r="H101" s="6">
        <v>0.1</v>
      </c>
      <c r="I101">
        <v>27</v>
      </c>
      <c r="J101">
        <v>133</v>
      </c>
      <c r="K101" s="40">
        <v>3200</v>
      </c>
      <c r="L101">
        <v>51800</v>
      </c>
      <c r="M101">
        <v>47500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40">
        <v>0</v>
      </c>
      <c r="W101">
        <v>0</v>
      </c>
      <c r="X101">
        <v>0</v>
      </c>
      <c r="Y101">
        <v>0</v>
      </c>
      <c r="Z101">
        <v>0</v>
      </c>
      <c r="AA101" s="40">
        <v>0</v>
      </c>
      <c r="AB101">
        <v>0</v>
      </c>
      <c r="AC101">
        <v>0</v>
      </c>
      <c r="AE101" s="40">
        <v>0</v>
      </c>
      <c r="AF101">
        <v>0</v>
      </c>
      <c r="AG101">
        <v>0</v>
      </c>
      <c r="AH101">
        <v>0</v>
      </c>
      <c r="AI101">
        <v>0</v>
      </c>
      <c r="AJ101">
        <v>0</v>
      </c>
    </row>
    <row r="102" spans="1:36" x14ac:dyDescent="0.3">
      <c r="A102" s="6" t="s">
        <v>60</v>
      </c>
      <c r="B102">
        <v>50</v>
      </c>
      <c r="C102">
        <v>13</v>
      </c>
      <c r="G102" s="40">
        <v>0.88</v>
      </c>
      <c r="H102" s="6">
        <v>94.6</v>
      </c>
      <c r="I102">
        <v>21</v>
      </c>
      <c r="J102">
        <v>227</v>
      </c>
      <c r="K102" s="40">
        <v>100</v>
      </c>
      <c r="L102">
        <v>1050</v>
      </c>
      <c r="M102">
        <v>710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40"/>
      <c r="AA102" s="40">
        <v>0.6</v>
      </c>
      <c r="AB102">
        <v>0.28000000000000003</v>
      </c>
      <c r="AE102" s="40"/>
      <c r="AF102">
        <v>22</v>
      </c>
    </row>
    <row r="103" spans="1:36" x14ac:dyDescent="0.3">
      <c r="A103" s="6" t="s">
        <v>61</v>
      </c>
      <c r="B103">
        <v>25</v>
      </c>
      <c r="C103">
        <v>35</v>
      </c>
      <c r="G103" s="40">
        <v>1.1000000000000001</v>
      </c>
      <c r="H103" s="6">
        <v>73.599999999999994</v>
      </c>
      <c r="I103">
        <v>51</v>
      </c>
      <c r="J103">
        <v>318</v>
      </c>
      <c r="K103" s="40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40"/>
      <c r="AA103" s="40">
        <v>23</v>
      </c>
      <c r="AE103" s="40"/>
      <c r="AF103">
        <v>0</v>
      </c>
    </row>
    <row r="104" spans="1:36" x14ac:dyDescent="0.3">
      <c r="A104" s="6" t="s">
        <v>549</v>
      </c>
      <c r="B104">
        <v>0</v>
      </c>
      <c r="C104">
        <v>0</v>
      </c>
      <c r="D104">
        <v>0</v>
      </c>
      <c r="E104">
        <v>0</v>
      </c>
      <c r="F104">
        <v>0</v>
      </c>
      <c r="G104" s="40">
        <v>0.81</v>
      </c>
      <c r="H104" s="6">
        <v>2.67</v>
      </c>
      <c r="I104">
        <v>0</v>
      </c>
      <c r="J104">
        <v>0</v>
      </c>
      <c r="K104" s="40">
        <v>86500</v>
      </c>
      <c r="L104">
        <v>3025</v>
      </c>
      <c r="M104">
        <v>3025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40">
        <v>0</v>
      </c>
      <c r="W104">
        <v>0</v>
      </c>
      <c r="X104">
        <v>0</v>
      </c>
      <c r="Y104">
        <v>0</v>
      </c>
      <c r="Z104">
        <v>0</v>
      </c>
      <c r="AA104" s="40">
        <v>0.5</v>
      </c>
      <c r="AB104">
        <v>0</v>
      </c>
      <c r="AC104">
        <v>0</v>
      </c>
      <c r="AE104" s="40">
        <v>0</v>
      </c>
      <c r="AF104">
        <v>0</v>
      </c>
      <c r="AG104">
        <v>0</v>
      </c>
      <c r="AH104">
        <v>0</v>
      </c>
      <c r="AI104">
        <v>0</v>
      </c>
      <c r="AJ104">
        <v>0</v>
      </c>
    </row>
    <row r="105" spans="1:36" x14ac:dyDescent="0.3">
      <c r="A105" s="6" t="s">
        <v>498</v>
      </c>
      <c r="B105">
        <v>0</v>
      </c>
      <c r="C105">
        <v>0</v>
      </c>
      <c r="D105">
        <v>0</v>
      </c>
      <c r="E105">
        <v>0</v>
      </c>
      <c r="F105">
        <v>0</v>
      </c>
      <c r="G105" s="40">
        <v>1.56</v>
      </c>
      <c r="H105" s="6">
        <v>0</v>
      </c>
      <c r="I105">
        <v>0</v>
      </c>
      <c r="J105">
        <v>0</v>
      </c>
      <c r="K105" s="40">
        <v>0</v>
      </c>
      <c r="L105">
        <v>100000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40">
        <v>0</v>
      </c>
      <c r="W105">
        <v>0</v>
      </c>
      <c r="X105">
        <v>0</v>
      </c>
      <c r="Y105">
        <v>0</v>
      </c>
      <c r="Z105">
        <v>0</v>
      </c>
      <c r="AA105" s="40">
        <v>0</v>
      </c>
      <c r="AE105" s="40">
        <v>0</v>
      </c>
      <c r="AF105">
        <v>0</v>
      </c>
      <c r="AG105">
        <v>0</v>
      </c>
      <c r="AH105">
        <v>0</v>
      </c>
      <c r="AI105">
        <v>0</v>
      </c>
      <c r="AJ105">
        <v>0</v>
      </c>
    </row>
    <row r="106" spans="1:36" x14ac:dyDescent="0.3">
      <c r="A106" s="6" t="s">
        <v>62</v>
      </c>
      <c r="B106">
        <v>4</v>
      </c>
      <c r="C106">
        <v>9</v>
      </c>
      <c r="G106" s="40">
        <v>0.45</v>
      </c>
      <c r="H106" s="6">
        <v>86</v>
      </c>
      <c r="I106">
        <v>61</v>
      </c>
      <c r="J106">
        <v>738</v>
      </c>
      <c r="K106" s="40">
        <v>0</v>
      </c>
      <c r="L106">
        <v>630</v>
      </c>
      <c r="M106">
        <v>630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40"/>
      <c r="AA106" s="40">
        <v>3.46</v>
      </c>
      <c r="AE106" s="40"/>
      <c r="AF106">
        <v>85</v>
      </c>
    </row>
    <row r="107" spans="1:36" x14ac:dyDescent="0.3">
      <c r="A107" s="6" t="s">
        <v>63</v>
      </c>
      <c r="B107">
        <v>67</v>
      </c>
      <c r="C107">
        <v>32</v>
      </c>
      <c r="G107" s="40">
        <v>0.66</v>
      </c>
      <c r="H107" s="6">
        <v>70.78</v>
      </c>
      <c r="I107">
        <v>128</v>
      </c>
      <c r="J107">
        <v>422</v>
      </c>
      <c r="K107" s="40">
        <v>4282</v>
      </c>
      <c r="L107">
        <v>3170</v>
      </c>
      <c r="M107">
        <v>1051</v>
      </c>
      <c r="N107">
        <v>0</v>
      </c>
      <c r="O107">
        <v>0</v>
      </c>
      <c r="P107">
        <v>0</v>
      </c>
      <c r="V107" s="40"/>
      <c r="AA107" s="40">
        <v>11.54</v>
      </c>
      <c r="AE107" s="40"/>
      <c r="AF107">
        <v>5.3</v>
      </c>
    </row>
    <row r="108" spans="1:36" x14ac:dyDescent="0.3">
      <c r="A108" s="6" t="s">
        <v>64</v>
      </c>
      <c r="B108">
        <v>17</v>
      </c>
      <c r="C108">
        <v>13</v>
      </c>
      <c r="G108" s="40">
        <v>0.35</v>
      </c>
      <c r="H108" s="6">
        <v>92.3</v>
      </c>
      <c r="I108">
        <v>2</v>
      </c>
      <c r="J108">
        <v>229</v>
      </c>
      <c r="K108" s="40">
        <v>260</v>
      </c>
      <c r="L108">
        <v>1580</v>
      </c>
      <c r="M108">
        <v>1540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40"/>
      <c r="AA108" s="40">
        <v>0.98</v>
      </c>
      <c r="AB108">
        <v>8.3000000000000007</v>
      </c>
      <c r="AE108" s="40"/>
      <c r="AF108">
        <v>2.2000000000000002</v>
      </c>
    </row>
    <row r="109" spans="1:36" x14ac:dyDescent="0.3">
      <c r="A109" s="6" t="s">
        <v>65</v>
      </c>
      <c r="B109">
        <v>20</v>
      </c>
      <c r="C109">
        <v>5</v>
      </c>
      <c r="G109" s="40">
        <v>1.075</v>
      </c>
      <c r="H109" s="6">
        <v>76.2</v>
      </c>
      <c r="I109">
        <v>142</v>
      </c>
      <c r="J109">
        <v>138</v>
      </c>
      <c r="K109" s="40">
        <v>0</v>
      </c>
      <c r="L109">
        <v>370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s="40"/>
      <c r="AA109" s="40">
        <v>12.6</v>
      </c>
      <c r="AE109" s="40"/>
      <c r="AF109">
        <v>0</v>
      </c>
    </row>
    <row r="110" spans="1:36" x14ac:dyDescent="0.3">
      <c r="A110" s="6" t="s">
        <v>66</v>
      </c>
      <c r="B110">
        <v>0</v>
      </c>
      <c r="C110">
        <v>0</v>
      </c>
      <c r="G110" s="40">
        <v>1.083</v>
      </c>
      <c r="H110" s="6">
        <v>87.6</v>
      </c>
      <c r="I110">
        <v>166</v>
      </c>
      <c r="J110">
        <v>163</v>
      </c>
      <c r="K110" s="40">
        <v>70</v>
      </c>
      <c r="L110">
        <v>340</v>
      </c>
      <c r="M110">
        <v>70</v>
      </c>
      <c r="N110">
        <v>70</v>
      </c>
      <c r="O110">
        <v>70</v>
      </c>
      <c r="P110">
        <v>70</v>
      </c>
      <c r="Q110">
        <v>0</v>
      </c>
      <c r="R110">
        <v>0</v>
      </c>
      <c r="S110">
        <v>0</v>
      </c>
      <c r="T110">
        <v>0</v>
      </c>
      <c r="U110">
        <v>0</v>
      </c>
      <c r="V110" s="40"/>
      <c r="AA110" s="40">
        <v>10.9</v>
      </c>
      <c r="AE110" s="40"/>
      <c r="AF110">
        <v>0</v>
      </c>
    </row>
    <row r="111" spans="1:36" x14ac:dyDescent="0.3">
      <c r="A111" s="6" t="s">
        <v>67</v>
      </c>
      <c r="B111">
        <v>46</v>
      </c>
      <c r="C111">
        <v>15</v>
      </c>
      <c r="G111" s="40">
        <v>1.0349999999999999</v>
      </c>
      <c r="H111" s="6">
        <v>52.3</v>
      </c>
      <c r="I111">
        <v>48</v>
      </c>
      <c r="J111">
        <v>109</v>
      </c>
      <c r="K111" s="40">
        <v>70</v>
      </c>
      <c r="L111">
        <v>180</v>
      </c>
      <c r="M111">
        <v>70</v>
      </c>
      <c r="N111">
        <v>70</v>
      </c>
      <c r="O111">
        <v>70</v>
      </c>
      <c r="P111">
        <v>70</v>
      </c>
      <c r="Q111">
        <v>0</v>
      </c>
      <c r="R111">
        <v>0</v>
      </c>
      <c r="S111">
        <v>0</v>
      </c>
      <c r="T111">
        <v>0</v>
      </c>
      <c r="U111">
        <v>0</v>
      </c>
      <c r="V111" s="40"/>
      <c r="AA111" s="40">
        <v>15.9</v>
      </c>
      <c r="AE111" s="40"/>
      <c r="AF111">
        <v>0</v>
      </c>
    </row>
    <row r="112" spans="1:36" x14ac:dyDescent="0.3">
      <c r="A112" s="6" t="s">
        <v>557</v>
      </c>
      <c r="B112">
        <v>0</v>
      </c>
      <c r="C112">
        <v>0</v>
      </c>
      <c r="D112">
        <v>0</v>
      </c>
      <c r="E112">
        <v>0</v>
      </c>
      <c r="F112">
        <v>0</v>
      </c>
      <c r="G112" s="40">
        <v>1.45</v>
      </c>
      <c r="H112" s="6">
        <v>0.2</v>
      </c>
      <c r="I112">
        <v>0</v>
      </c>
      <c r="J112">
        <v>0</v>
      </c>
      <c r="K112" s="40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40">
        <v>0</v>
      </c>
      <c r="W112">
        <v>0</v>
      </c>
      <c r="X112">
        <v>99800</v>
      </c>
      <c r="Y112">
        <v>0</v>
      </c>
      <c r="Z112">
        <v>0</v>
      </c>
      <c r="AA112" s="40">
        <v>0</v>
      </c>
      <c r="AB112">
        <v>0</v>
      </c>
      <c r="AC112">
        <v>0</v>
      </c>
      <c r="AE112" s="40">
        <v>0</v>
      </c>
      <c r="AF112">
        <v>0</v>
      </c>
      <c r="AG112">
        <v>0</v>
      </c>
      <c r="AH112">
        <v>0</v>
      </c>
      <c r="AI112">
        <v>0</v>
      </c>
      <c r="AJ112">
        <v>0</v>
      </c>
    </row>
    <row r="113" spans="1:36" x14ac:dyDescent="0.3">
      <c r="A113" s="6" t="s">
        <v>548</v>
      </c>
      <c r="B113">
        <v>0</v>
      </c>
      <c r="C113">
        <v>0</v>
      </c>
      <c r="D113">
        <v>0</v>
      </c>
      <c r="E113">
        <v>0</v>
      </c>
      <c r="F113">
        <v>0</v>
      </c>
      <c r="G113" s="40">
        <v>0.81</v>
      </c>
      <c r="H113" s="6">
        <v>0.6</v>
      </c>
      <c r="I113">
        <v>0</v>
      </c>
      <c r="J113">
        <v>160</v>
      </c>
      <c r="K113" s="40">
        <v>99400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40">
        <v>0</v>
      </c>
      <c r="W113">
        <v>0</v>
      </c>
      <c r="X113">
        <v>0</v>
      </c>
      <c r="Y113">
        <v>0</v>
      </c>
      <c r="Z113">
        <v>0</v>
      </c>
      <c r="AA113" s="40">
        <v>0</v>
      </c>
      <c r="AB113">
        <v>0</v>
      </c>
      <c r="AC113">
        <v>0</v>
      </c>
      <c r="AE113" s="40">
        <v>0</v>
      </c>
      <c r="AF113">
        <v>0</v>
      </c>
      <c r="AG113">
        <v>0</v>
      </c>
      <c r="AH113">
        <v>0</v>
      </c>
      <c r="AI113">
        <v>0</v>
      </c>
      <c r="AJ113">
        <v>0</v>
      </c>
    </row>
    <row r="114" spans="1:36" x14ac:dyDescent="0.3">
      <c r="A114" s="6" t="s">
        <v>68</v>
      </c>
      <c r="B114">
        <v>630</v>
      </c>
      <c r="C114">
        <v>469</v>
      </c>
      <c r="G114" s="40">
        <v>0.65</v>
      </c>
      <c r="H114" s="6">
        <v>50.3</v>
      </c>
      <c r="I114">
        <v>3668</v>
      </c>
      <c r="J114">
        <v>544</v>
      </c>
      <c r="K114" s="40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40"/>
      <c r="AA114" s="40">
        <v>28.89</v>
      </c>
      <c r="AE114" s="40"/>
      <c r="AF114">
        <v>0</v>
      </c>
    </row>
    <row r="115" spans="1:36" x14ac:dyDescent="0.3">
      <c r="A115" s="6" t="s">
        <v>69</v>
      </c>
      <c r="B115">
        <v>45</v>
      </c>
      <c r="E115">
        <v>575</v>
      </c>
      <c r="G115" s="40">
        <v>0.96</v>
      </c>
      <c r="H115" s="6">
        <v>16.670000000000002</v>
      </c>
      <c r="I115">
        <v>3170</v>
      </c>
      <c r="J115">
        <v>600</v>
      </c>
      <c r="K115" s="40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s="40"/>
      <c r="AA115" s="40">
        <v>43.3</v>
      </c>
      <c r="AE115" s="40"/>
    </row>
    <row r="116" spans="1:36" x14ac:dyDescent="0.3">
      <c r="A116" s="6" t="s">
        <v>70</v>
      </c>
      <c r="B116">
        <v>9</v>
      </c>
      <c r="C116">
        <v>0</v>
      </c>
      <c r="G116" s="40">
        <v>1.07</v>
      </c>
      <c r="H116" s="6">
        <v>74.44</v>
      </c>
      <c r="I116">
        <v>104</v>
      </c>
      <c r="J116">
        <v>383</v>
      </c>
      <c r="K116" s="40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40"/>
      <c r="AA116" s="40">
        <v>20.399999999999999</v>
      </c>
      <c r="AB116">
        <v>2.52</v>
      </c>
      <c r="AD116">
        <v>1.2999999999999999E-2</v>
      </c>
      <c r="AE116" s="40"/>
      <c r="AF116">
        <v>0</v>
      </c>
    </row>
    <row r="117" spans="1:36" x14ac:dyDescent="0.3">
      <c r="A117" s="6" t="s">
        <v>71</v>
      </c>
      <c r="B117">
        <v>17</v>
      </c>
      <c r="C117">
        <v>2</v>
      </c>
      <c r="G117" s="40">
        <v>1.07</v>
      </c>
      <c r="H117" s="6">
        <v>75</v>
      </c>
      <c r="I117">
        <v>115</v>
      </c>
      <c r="J117">
        <v>366</v>
      </c>
      <c r="K117" s="40"/>
      <c r="V117" s="40"/>
      <c r="AA117" s="40">
        <v>15.8</v>
      </c>
      <c r="AB117">
        <v>2.52</v>
      </c>
      <c r="AD117">
        <v>1.2999999999999999E-2</v>
      </c>
      <c r="AE117" s="40"/>
    </row>
    <row r="118" spans="1:36" x14ac:dyDescent="0.3">
      <c r="A118" s="6" t="s">
        <v>72</v>
      </c>
      <c r="B118">
        <v>18</v>
      </c>
      <c r="C118">
        <v>2</v>
      </c>
      <c r="G118" s="40">
        <v>1.07</v>
      </c>
      <c r="H118" s="6">
        <v>75</v>
      </c>
      <c r="I118">
        <v>210</v>
      </c>
      <c r="J118">
        <v>320</v>
      </c>
      <c r="K118" s="40"/>
      <c r="V118" s="40"/>
      <c r="AA118" s="40">
        <v>18.2</v>
      </c>
      <c r="AB118">
        <v>2.52</v>
      </c>
      <c r="AD118">
        <v>1.2999999999999999E-2</v>
      </c>
      <c r="AE118" s="40"/>
    </row>
    <row r="119" spans="1:36" x14ac:dyDescent="0.3">
      <c r="A119" s="6" t="s">
        <v>73</v>
      </c>
      <c r="B119">
        <v>5.5</v>
      </c>
      <c r="E119">
        <v>200</v>
      </c>
      <c r="G119" s="40">
        <v>1.07</v>
      </c>
      <c r="H119" s="6">
        <v>55.77</v>
      </c>
      <c r="K119" s="40"/>
      <c r="V119" s="40"/>
      <c r="AA119" s="40"/>
      <c r="AB119">
        <v>2.52</v>
      </c>
      <c r="AD119">
        <v>1.2999999999999999E-2</v>
      </c>
      <c r="AE119" s="40"/>
    </row>
    <row r="120" spans="1:36" x14ac:dyDescent="0.3">
      <c r="A120" s="6" t="s">
        <v>76</v>
      </c>
      <c r="B120">
        <v>16</v>
      </c>
      <c r="C120">
        <v>1</v>
      </c>
      <c r="E120">
        <v>160</v>
      </c>
      <c r="G120" s="40">
        <v>1.07</v>
      </c>
      <c r="H120" s="6">
        <v>74.099999999999994</v>
      </c>
      <c r="I120">
        <v>89</v>
      </c>
      <c r="J120">
        <v>375</v>
      </c>
      <c r="K120" s="4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 s="40">
        <v>0</v>
      </c>
      <c r="W120">
        <v>0</v>
      </c>
      <c r="X120">
        <v>0</v>
      </c>
      <c r="Y120">
        <v>0</v>
      </c>
      <c r="Z120">
        <v>0</v>
      </c>
      <c r="AA120" s="40">
        <v>17.3</v>
      </c>
      <c r="AB120">
        <v>2.52</v>
      </c>
      <c r="AD120">
        <v>1.2999999999999999E-2</v>
      </c>
      <c r="AE120" s="40"/>
      <c r="AF120">
        <v>0</v>
      </c>
    </row>
    <row r="121" spans="1:36" x14ac:dyDescent="0.3">
      <c r="A121" s="6" t="s">
        <v>77</v>
      </c>
      <c r="B121">
        <v>7.5</v>
      </c>
      <c r="E121">
        <v>180</v>
      </c>
      <c r="G121" s="40">
        <v>1.07</v>
      </c>
      <c r="H121" s="6">
        <v>82.1</v>
      </c>
      <c r="I121">
        <v>54</v>
      </c>
      <c r="J121">
        <v>413</v>
      </c>
      <c r="K121" s="40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40">
        <v>0</v>
      </c>
      <c r="W121">
        <v>0</v>
      </c>
      <c r="X121">
        <v>0</v>
      </c>
      <c r="Y121">
        <v>0</v>
      </c>
      <c r="Z121">
        <v>0</v>
      </c>
      <c r="AA121" s="40">
        <v>17.8</v>
      </c>
      <c r="AB121">
        <v>2.52</v>
      </c>
      <c r="AD121">
        <v>1.2999999999999999E-2</v>
      </c>
      <c r="AE121" s="40"/>
      <c r="AF121">
        <v>1</v>
      </c>
    </row>
    <row r="122" spans="1:36" x14ac:dyDescent="0.3">
      <c r="A122" s="6" t="s">
        <v>78</v>
      </c>
      <c r="B122">
        <v>5</v>
      </c>
      <c r="C122">
        <v>0</v>
      </c>
      <c r="G122" s="40">
        <v>1.07</v>
      </c>
      <c r="H122" s="6">
        <v>68.3</v>
      </c>
      <c r="I122">
        <v>51</v>
      </c>
      <c r="J122">
        <v>272</v>
      </c>
      <c r="K122" s="40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s="40">
        <v>0</v>
      </c>
      <c r="W122">
        <v>0</v>
      </c>
      <c r="X122">
        <v>0</v>
      </c>
      <c r="Y122">
        <v>0</v>
      </c>
      <c r="Z122">
        <v>0</v>
      </c>
      <c r="AA122" s="40">
        <v>18.399999999999999</v>
      </c>
      <c r="AB122">
        <v>2.52</v>
      </c>
      <c r="AD122">
        <v>1.2999999999999999E-2</v>
      </c>
      <c r="AE122" s="40"/>
      <c r="AF122">
        <v>1.8</v>
      </c>
    </row>
    <row r="123" spans="1:36" x14ac:dyDescent="0.3">
      <c r="A123" s="6" t="s">
        <v>79</v>
      </c>
      <c r="B123">
        <v>2</v>
      </c>
      <c r="C123">
        <v>0</v>
      </c>
      <c r="E123">
        <v>315</v>
      </c>
      <c r="G123" s="40">
        <v>1.07</v>
      </c>
      <c r="H123" s="6">
        <v>68.099999999999994</v>
      </c>
      <c r="I123">
        <v>39</v>
      </c>
      <c r="J123">
        <v>252</v>
      </c>
      <c r="K123" s="40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40">
        <v>0</v>
      </c>
      <c r="W123">
        <v>0</v>
      </c>
      <c r="X123">
        <v>0</v>
      </c>
      <c r="Y123">
        <v>0</v>
      </c>
      <c r="Z123">
        <v>0</v>
      </c>
      <c r="AA123" s="40">
        <v>23.3</v>
      </c>
      <c r="AB123">
        <v>2.52</v>
      </c>
      <c r="AD123">
        <v>1.2999999999999999E-2</v>
      </c>
      <c r="AE123" s="40"/>
      <c r="AF123">
        <v>0</v>
      </c>
    </row>
    <row r="124" spans="1:36" x14ac:dyDescent="0.3">
      <c r="A124" s="6" t="s">
        <v>80</v>
      </c>
      <c r="B124">
        <v>12.4</v>
      </c>
      <c r="C124">
        <v>0</v>
      </c>
      <c r="G124" s="40">
        <v>1.07</v>
      </c>
      <c r="H124" s="6">
        <v>84.6</v>
      </c>
      <c r="I124">
        <v>296</v>
      </c>
      <c r="J124">
        <v>160</v>
      </c>
      <c r="K124" s="40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40">
        <v>0</v>
      </c>
      <c r="W124">
        <v>0</v>
      </c>
      <c r="X124">
        <v>0</v>
      </c>
      <c r="Y124">
        <v>0</v>
      </c>
      <c r="Z124">
        <v>0</v>
      </c>
      <c r="AA124" s="40">
        <v>12.4</v>
      </c>
      <c r="AB124">
        <v>2.52</v>
      </c>
      <c r="AD124">
        <v>1.2999999999999999E-2</v>
      </c>
      <c r="AE124" s="40"/>
      <c r="AF124">
        <v>0</v>
      </c>
    </row>
    <row r="125" spans="1:36" x14ac:dyDescent="0.3">
      <c r="A125" s="6" t="s">
        <v>81</v>
      </c>
      <c r="B125">
        <v>99</v>
      </c>
      <c r="C125">
        <v>51</v>
      </c>
      <c r="E125">
        <v>410</v>
      </c>
      <c r="G125" s="40">
        <v>0.96</v>
      </c>
      <c r="H125" s="6">
        <v>22.5</v>
      </c>
      <c r="K125" s="40"/>
      <c r="V125" s="40"/>
      <c r="AA125" s="40"/>
      <c r="AE125" s="40"/>
    </row>
    <row r="126" spans="1:36" x14ac:dyDescent="0.3">
      <c r="A126" s="6" t="s">
        <v>82</v>
      </c>
      <c r="B126">
        <v>55</v>
      </c>
      <c r="C126">
        <v>11</v>
      </c>
      <c r="E126">
        <v>1265</v>
      </c>
      <c r="G126" s="40">
        <v>0.96</v>
      </c>
      <c r="H126" s="6">
        <v>17.7</v>
      </c>
      <c r="K126" s="40"/>
      <c r="V126" s="40"/>
      <c r="AA126" s="40"/>
      <c r="AE126" s="40"/>
    </row>
    <row r="127" spans="1:36" x14ac:dyDescent="0.3">
      <c r="A127" s="6" t="s">
        <v>83</v>
      </c>
      <c r="B127">
        <v>18</v>
      </c>
      <c r="C127">
        <v>4</v>
      </c>
      <c r="E127">
        <v>129</v>
      </c>
      <c r="G127" s="40">
        <v>1.07</v>
      </c>
      <c r="H127" s="6">
        <v>75.7</v>
      </c>
      <c r="I127">
        <v>64</v>
      </c>
      <c r="J127">
        <v>0</v>
      </c>
      <c r="K127" s="40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40">
        <v>0</v>
      </c>
      <c r="W127">
        <v>0</v>
      </c>
      <c r="X127">
        <v>0</v>
      </c>
      <c r="Y127">
        <v>0</v>
      </c>
      <c r="Z127">
        <v>0</v>
      </c>
      <c r="AA127" s="40">
        <v>21.2</v>
      </c>
      <c r="AB127">
        <v>2.52</v>
      </c>
      <c r="AD127">
        <v>1.2999999999999999E-2</v>
      </c>
      <c r="AE127" s="40"/>
      <c r="AF127">
        <v>0</v>
      </c>
    </row>
    <row r="128" spans="1:36" x14ac:dyDescent="0.3">
      <c r="A128" s="6" t="s">
        <v>84</v>
      </c>
      <c r="B128">
        <v>6</v>
      </c>
      <c r="C128">
        <v>1</v>
      </c>
      <c r="E128">
        <v>230</v>
      </c>
      <c r="G128" s="40">
        <v>1.07</v>
      </c>
      <c r="H128" s="6">
        <v>75</v>
      </c>
      <c r="I128">
        <v>80</v>
      </c>
      <c r="J128">
        <v>344</v>
      </c>
      <c r="K128" s="40"/>
      <c r="V128" s="40"/>
      <c r="AA128" s="40">
        <v>15.44</v>
      </c>
      <c r="AB128">
        <v>2.52</v>
      </c>
      <c r="AD128">
        <v>1.2999999999999999E-2</v>
      </c>
      <c r="AE128" s="40"/>
    </row>
    <row r="129" spans="1:36" x14ac:dyDescent="0.3">
      <c r="A129" s="6" t="s">
        <v>85</v>
      </c>
      <c r="B129">
        <v>8.5</v>
      </c>
      <c r="E129">
        <v>300</v>
      </c>
      <c r="G129" s="40">
        <v>0.80100000000000005</v>
      </c>
      <c r="H129" s="6">
        <v>63.6</v>
      </c>
      <c r="I129">
        <v>90</v>
      </c>
      <c r="J129">
        <v>314</v>
      </c>
      <c r="K129" s="40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40">
        <v>0</v>
      </c>
      <c r="W129">
        <v>0</v>
      </c>
      <c r="X129">
        <v>0</v>
      </c>
      <c r="Y129">
        <v>0</v>
      </c>
      <c r="Z129">
        <v>0</v>
      </c>
      <c r="AA129" s="40">
        <v>18.600000000000001</v>
      </c>
      <c r="AB129">
        <v>2.52</v>
      </c>
      <c r="AD129">
        <v>1.2999999999999999E-2</v>
      </c>
      <c r="AE129" s="40"/>
      <c r="AF129">
        <v>0.4</v>
      </c>
    </row>
    <row r="130" spans="1:36" x14ac:dyDescent="0.3">
      <c r="A130" s="6" t="s">
        <v>86</v>
      </c>
      <c r="B130">
        <v>209</v>
      </c>
      <c r="C130">
        <v>0</v>
      </c>
      <c r="E130">
        <v>280</v>
      </c>
      <c r="G130" s="40">
        <v>0.80100000000000005</v>
      </c>
      <c r="H130" s="6">
        <v>70.2</v>
      </c>
      <c r="I130">
        <v>86</v>
      </c>
      <c r="J130">
        <v>406</v>
      </c>
      <c r="K130" s="4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s="40">
        <v>0</v>
      </c>
      <c r="W130">
        <v>0</v>
      </c>
      <c r="X130">
        <v>0</v>
      </c>
      <c r="Y130">
        <v>0</v>
      </c>
      <c r="Z130">
        <v>0</v>
      </c>
      <c r="AA130" s="40">
        <v>20.100000000000001</v>
      </c>
      <c r="AB130">
        <v>2.52</v>
      </c>
      <c r="AD130">
        <v>1.2999999999999999E-2</v>
      </c>
      <c r="AE130" s="40"/>
      <c r="AF130">
        <v>2</v>
      </c>
    </row>
    <row r="131" spans="1:36" x14ac:dyDescent="0.3">
      <c r="A131" s="6" t="s">
        <v>87</v>
      </c>
      <c r="B131">
        <v>6</v>
      </c>
      <c r="C131">
        <v>1</v>
      </c>
      <c r="G131" s="40">
        <v>1.07</v>
      </c>
      <c r="H131" s="6">
        <v>79.099999999999994</v>
      </c>
      <c r="I131">
        <v>74</v>
      </c>
      <c r="J131">
        <v>386</v>
      </c>
      <c r="K131" s="40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40">
        <v>0</v>
      </c>
      <c r="W131">
        <v>0</v>
      </c>
      <c r="X131">
        <v>0</v>
      </c>
      <c r="Y131">
        <v>0</v>
      </c>
      <c r="Z131">
        <v>0</v>
      </c>
      <c r="AA131" s="40">
        <v>18.399999999999999</v>
      </c>
      <c r="AB131">
        <v>2.52</v>
      </c>
      <c r="AD131">
        <v>1.2999999999999999E-2</v>
      </c>
      <c r="AE131" s="40"/>
      <c r="AF131">
        <v>0</v>
      </c>
    </row>
    <row r="132" spans="1:36" x14ac:dyDescent="0.3">
      <c r="A132" s="6" t="s">
        <v>268</v>
      </c>
      <c r="B132">
        <v>10</v>
      </c>
      <c r="C132">
        <v>2</v>
      </c>
      <c r="G132" s="40">
        <v>1.07</v>
      </c>
      <c r="H132" s="6">
        <v>64.900000000000006</v>
      </c>
      <c r="I132">
        <v>59</v>
      </c>
      <c r="J132">
        <v>363</v>
      </c>
      <c r="K132" s="40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s="40">
        <v>0</v>
      </c>
      <c r="W132">
        <v>0</v>
      </c>
      <c r="X132">
        <v>0</v>
      </c>
      <c r="Y132">
        <v>0</v>
      </c>
      <c r="Z132">
        <v>0</v>
      </c>
      <c r="AA132" s="40">
        <v>20.399999999999999</v>
      </c>
      <c r="AB132">
        <v>2.52</v>
      </c>
      <c r="AD132">
        <v>1.2999999999999999E-2</v>
      </c>
      <c r="AE132" s="40"/>
      <c r="AF132">
        <v>3.9</v>
      </c>
    </row>
    <row r="133" spans="1:36" x14ac:dyDescent="0.3">
      <c r="A133" s="6" t="s">
        <v>267</v>
      </c>
      <c r="B133">
        <v>36.299999999999997</v>
      </c>
      <c r="G133" s="40">
        <v>0.63600000000000001</v>
      </c>
      <c r="H133" s="6">
        <v>72.680000000000007</v>
      </c>
      <c r="I133">
        <v>403</v>
      </c>
      <c r="J133">
        <v>336</v>
      </c>
      <c r="K133" s="40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s="40">
        <v>0</v>
      </c>
      <c r="W133">
        <v>0</v>
      </c>
      <c r="X133">
        <v>0</v>
      </c>
      <c r="Y133">
        <v>0</v>
      </c>
      <c r="Z133">
        <v>0</v>
      </c>
      <c r="AA133" s="40">
        <v>20.55</v>
      </c>
      <c r="AE133" s="40"/>
      <c r="AF133">
        <v>0</v>
      </c>
    </row>
    <row r="134" spans="1:36" x14ac:dyDescent="0.3">
      <c r="A134" s="6" t="s">
        <v>88</v>
      </c>
      <c r="B134">
        <v>15</v>
      </c>
      <c r="E134">
        <v>280</v>
      </c>
      <c r="G134" s="40">
        <v>1.07</v>
      </c>
      <c r="H134" s="6">
        <v>73.62</v>
      </c>
      <c r="I134">
        <v>67</v>
      </c>
      <c r="J134">
        <v>554</v>
      </c>
      <c r="K134" s="40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 s="40">
        <v>0</v>
      </c>
      <c r="W134">
        <v>0</v>
      </c>
      <c r="X134">
        <v>0</v>
      </c>
      <c r="Y134">
        <v>0</v>
      </c>
      <c r="Z134">
        <v>0</v>
      </c>
      <c r="AA134" s="40">
        <v>23.67</v>
      </c>
      <c r="AB134">
        <v>2.52</v>
      </c>
      <c r="AD134">
        <v>1.2999999999999999E-2</v>
      </c>
      <c r="AE134" s="40"/>
      <c r="AF134">
        <v>0</v>
      </c>
    </row>
    <row r="135" spans="1:36" x14ac:dyDescent="0.3">
      <c r="A135" s="6" t="s">
        <v>89</v>
      </c>
      <c r="B135">
        <v>71</v>
      </c>
      <c r="C135">
        <v>19</v>
      </c>
      <c r="E135">
        <v>650</v>
      </c>
      <c r="F135">
        <v>20</v>
      </c>
      <c r="G135" s="40">
        <v>0.96</v>
      </c>
      <c r="H135" s="6">
        <v>13.85</v>
      </c>
      <c r="I135">
        <v>232</v>
      </c>
      <c r="J135">
        <v>850</v>
      </c>
      <c r="K135" s="40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 s="40">
        <v>0</v>
      </c>
      <c r="W135">
        <v>0</v>
      </c>
      <c r="X135">
        <v>0</v>
      </c>
      <c r="Y135">
        <v>0</v>
      </c>
      <c r="Z135">
        <v>0</v>
      </c>
      <c r="AA135" s="40">
        <v>46.4</v>
      </c>
      <c r="AE135" s="40"/>
      <c r="AF135">
        <v>0</v>
      </c>
    </row>
    <row r="136" spans="1:36" x14ac:dyDescent="0.3">
      <c r="A136" s="6" t="s">
        <v>269</v>
      </c>
      <c r="B136">
        <v>22.3</v>
      </c>
      <c r="G136" s="40">
        <v>0.98</v>
      </c>
      <c r="H136" s="6">
        <v>62.3</v>
      </c>
      <c r="I136">
        <v>414</v>
      </c>
      <c r="J136">
        <v>341</v>
      </c>
      <c r="K136" s="40">
        <v>430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s="40">
        <v>0</v>
      </c>
      <c r="W136">
        <v>0</v>
      </c>
      <c r="X136">
        <v>0</v>
      </c>
      <c r="Y136">
        <v>0</v>
      </c>
      <c r="Z136">
        <v>0</v>
      </c>
      <c r="AA136" s="40">
        <v>20.86</v>
      </c>
      <c r="AE136" s="40"/>
      <c r="AF136">
        <v>1</v>
      </c>
    </row>
    <row r="137" spans="1:36" x14ac:dyDescent="0.3">
      <c r="A137" s="6" t="s">
        <v>74</v>
      </c>
      <c r="B137">
        <v>63</v>
      </c>
      <c r="C137">
        <v>15</v>
      </c>
      <c r="E137">
        <v>550</v>
      </c>
      <c r="F137">
        <v>10</v>
      </c>
      <c r="G137" s="40">
        <v>0.96</v>
      </c>
      <c r="H137" s="6">
        <v>22.5</v>
      </c>
      <c r="K137" s="40"/>
      <c r="V137" s="40"/>
      <c r="AA137" s="40"/>
      <c r="AE137" s="40"/>
    </row>
    <row r="138" spans="1:36" x14ac:dyDescent="0.3">
      <c r="A138" s="6" t="s">
        <v>75</v>
      </c>
      <c r="B138">
        <v>10</v>
      </c>
      <c r="E138">
        <v>240</v>
      </c>
      <c r="G138" s="40">
        <v>1.07</v>
      </c>
      <c r="H138" s="6">
        <v>61.7</v>
      </c>
      <c r="I138">
        <v>42</v>
      </c>
      <c r="J138">
        <v>288</v>
      </c>
      <c r="K138" s="40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s="40">
        <v>0</v>
      </c>
      <c r="W138">
        <v>0</v>
      </c>
      <c r="X138">
        <v>0</v>
      </c>
      <c r="Y138">
        <v>0</v>
      </c>
      <c r="Z138">
        <v>0</v>
      </c>
      <c r="AA138" s="40">
        <v>18.7</v>
      </c>
      <c r="AB138">
        <v>2.52</v>
      </c>
      <c r="AD138">
        <v>1.2999999999999999E-2</v>
      </c>
      <c r="AE138" s="40"/>
      <c r="AF138">
        <v>0</v>
      </c>
    </row>
    <row r="139" spans="1:36" x14ac:dyDescent="0.3">
      <c r="A139" s="6" t="s">
        <v>90</v>
      </c>
      <c r="B139">
        <v>79</v>
      </c>
      <c r="E139">
        <v>265</v>
      </c>
      <c r="G139" s="40">
        <v>0.80100000000000005</v>
      </c>
      <c r="H139" s="6">
        <v>71.7</v>
      </c>
      <c r="I139">
        <v>59</v>
      </c>
      <c r="J139">
        <v>446</v>
      </c>
      <c r="K139" s="40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s="40">
        <v>0</v>
      </c>
      <c r="W139">
        <v>0</v>
      </c>
      <c r="X139">
        <v>0</v>
      </c>
      <c r="Y139">
        <v>0</v>
      </c>
      <c r="Z139">
        <v>0</v>
      </c>
      <c r="AA139" s="40">
        <v>19.3</v>
      </c>
      <c r="AB139">
        <v>2.52</v>
      </c>
      <c r="AD139">
        <v>1.2999999999999999E-2</v>
      </c>
      <c r="AE139" s="40"/>
      <c r="AF139">
        <v>1.6</v>
      </c>
    </row>
    <row r="140" spans="1:36" x14ac:dyDescent="0.3">
      <c r="A140" s="6" t="s">
        <v>91</v>
      </c>
      <c r="B140">
        <v>31</v>
      </c>
      <c r="C140">
        <v>6</v>
      </c>
      <c r="E140">
        <v>967</v>
      </c>
      <c r="G140" s="40">
        <v>0.96</v>
      </c>
      <c r="H140" s="6">
        <v>18.84</v>
      </c>
      <c r="I140">
        <v>141</v>
      </c>
      <c r="J140">
        <v>1378</v>
      </c>
      <c r="K140" s="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s="40">
        <v>0</v>
      </c>
      <c r="W140">
        <v>0</v>
      </c>
      <c r="X140">
        <v>0</v>
      </c>
      <c r="Y140">
        <v>0</v>
      </c>
      <c r="Z140">
        <v>0</v>
      </c>
      <c r="AA140" s="40">
        <v>76.25</v>
      </c>
      <c r="AE140" s="40"/>
      <c r="AF140">
        <v>0</v>
      </c>
    </row>
    <row r="141" spans="1:36" x14ac:dyDescent="0.3">
      <c r="A141" s="6" t="s">
        <v>92</v>
      </c>
      <c r="B141">
        <v>5.5</v>
      </c>
      <c r="E141">
        <v>305</v>
      </c>
      <c r="G141" s="40">
        <v>1.02</v>
      </c>
      <c r="H141" s="6">
        <v>74.03</v>
      </c>
      <c r="I141">
        <v>45</v>
      </c>
      <c r="J141">
        <v>441</v>
      </c>
      <c r="K141" s="40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40">
        <v>0</v>
      </c>
      <c r="W141">
        <v>0</v>
      </c>
      <c r="X141">
        <v>0</v>
      </c>
      <c r="Y141">
        <v>0</v>
      </c>
      <c r="Z141">
        <v>0</v>
      </c>
      <c r="AA141" s="40">
        <v>24.4</v>
      </c>
      <c r="AB141">
        <v>1.6</v>
      </c>
      <c r="AD141">
        <v>1.2999999999999999E-2</v>
      </c>
      <c r="AE141" s="40"/>
      <c r="AF141">
        <v>0</v>
      </c>
    </row>
    <row r="142" spans="1:36" x14ac:dyDescent="0.3">
      <c r="A142" s="6" t="s">
        <v>93</v>
      </c>
      <c r="B142">
        <v>7</v>
      </c>
      <c r="C142">
        <v>0</v>
      </c>
      <c r="E142">
        <v>260</v>
      </c>
      <c r="G142" s="40">
        <v>1.07</v>
      </c>
      <c r="H142" s="6">
        <v>74.5</v>
      </c>
      <c r="I142">
        <v>39</v>
      </c>
      <c r="J142">
        <v>420</v>
      </c>
      <c r="K142" s="40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s="40">
        <v>0</v>
      </c>
      <c r="W142">
        <v>0</v>
      </c>
      <c r="X142">
        <v>0</v>
      </c>
      <c r="Y142">
        <v>0</v>
      </c>
      <c r="Z142">
        <v>0</v>
      </c>
      <c r="AA142" s="40">
        <v>23.1</v>
      </c>
      <c r="AB142">
        <v>2.52</v>
      </c>
      <c r="AD142">
        <v>1.2999999999999999E-2</v>
      </c>
      <c r="AE142" s="40"/>
      <c r="AF142">
        <v>2.8</v>
      </c>
    </row>
    <row r="143" spans="1:36" x14ac:dyDescent="0.3">
      <c r="A143" s="6" t="s">
        <v>94</v>
      </c>
      <c r="B143">
        <v>40</v>
      </c>
      <c r="E143">
        <v>240</v>
      </c>
      <c r="G143" s="40">
        <v>0.96</v>
      </c>
      <c r="H143" s="6">
        <v>20.6</v>
      </c>
      <c r="I143">
        <v>200</v>
      </c>
      <c r="J143">
        <v>1080</v>
      </c>
      <c r="K143" s="40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s="40">
        <v>0</v>
      </c>
      <c r="W143">
        <v>0</v>
      </c>
      <c r="X143">
        <v>0</v>
      </c>
      <c r="Y143">
        <v>0</v>
      </c>
      <c r="Z143">
        <v>0</v>
      </c>
      <c r="AA143" s="40">
        <v>62.4</v>
      </c>
      <c r="AE143" s="40"/>
      <c r="AF143">
        <v>0</v>
      </c>
    </row>
    <row r="144" spans="1:36" x14ac:dyDescent="0.3">
      <c r="A144" s="6" t="s">
        <v>514</v>
      </c>
      <c r="B144">
        <v>0</v>
      </c>
      <c r="C144">
        <v>0</v>
      </c>
      <c r="D144">
        <v>0</v>
      </c>
      <c r="E144">
        <v>0</v>
      </c>
      <c r="F144">
        <v>0</v>
      </c>
      <c r="G144" s="40">
        <v>0.81</v>
      </c>
      <c r="H144" s="6">
        <v>6.5</v>
      </c>
      <c r="I144">
        <v>35679</v>
      </c>
      <c r="J144">
        <v>0</v>
      </c>
      <c r="K144" s="40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V144" s="40">
        <v>0</v>
      </c>
      <c r="W144">
        <v>0</v>
      </c>
      <c r="X144">
        <v>0</v>
      </c>
      <c r="Y144">
        <v>0</v>
      </c>
      <c r="Z144">
        <v>0</v>
      </c>
      <c r="AA144" s="40">
        <v>0</v>
      </c>
      <c r="AE144" s="40">
        <v>0</v>
      </c>
      <c r="AF144">
        <v>0</v>
      </c>
      <c r="AG144">
        <v>0</v>
      </c>
      <c r="AH144">
        <v>0</v>
      </c>
      <c r="AI144">
        <v>0</v>
      </c>
      <c r="AJ144">
        <v>0</v>
      </c>
    </row>
    <row r="145" spans="1:36" x14ac:dyDescent="0.3">
      <c r="A145" s="6" t="s">
        <v>248</v>
      </c>
      <c r="B145">
        <v>23.5</v>
      </c>
      <c r="G145" s="40">
        <v>0.76200000000000001</v>
      </c>
      <c r="H145" s="6">
        <v>12.4</v>
      </c>
      <c r="I145">
        <v>3</v>
      </c>
      <c r="J145">
        <v>394</v>
      </c>
      <c r="K145" s="40">
        <v>0</v>
      </c>
      <c r="L145">
        <v>1020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U145">
        <v>0</v>
      </c>
      <c r="V145" s="40"/>
      <c r="AA145" s="40">
        <v>9.61</v>
      </c>
      <c r="AB145">
        <v>0.77</v>
      </c>
      <c r="AE145" s="40"/>
      <c r="AF145">
        <v>0</v>
      </c>
    </row>
    <row r="146" spans="1:36" x14ac:dyDescent="0.3">
      <c r="A146" s="6" t="s">
        <v>95</v>
      </c>
      <c r="B146">
        <v>195</v>
      </c>
      <c r="C146">
        <v>108</v>
      </c>
      <c r="G146" s="40">
        <v>0.88</v>
      </c>
      <c r="H146" s="6">
        <v>37</v>
      </c>
      <c r="I146">
        <v>697</v>
      </c>
      <c r="J146">
        <v>138</v>
      </c>
      <c r="K146" s="40">
        <v>1000</v>
      </c>
      <c r="L146">
        <v>1000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 s="40"/>
      <c r="AA146" s="40">
        <v>11.4</v>
      </c>
      <c r="AE146" s="40">
        <v>0</v>
      </c>
      <c r="AF146">
        <v>2</v>
      </c>
    </row>
    <row r="147" spans="1:36" x14ac:dyDescent="0.3">
      <c r="A147" s="6" t="s">
        <v>499</v>
      </c>
      <c r="B147">
        <v>0</v>
      </c>
      <c r="C147">
        <v>0</v>
      </c>
      <c r="D147">
        <v>0</v>
      </c>
      <c r="E147">
        <v>0</v>
      </c>
      <c r="F147">
        <v>0</v>
      </c>
      <c r="G147" s="40">
        <v>0.56000000000000005</v>
      </c>
      <c r="H147" s="6">
        <v>0</v>
      </c>
      <c r="I147">
        <v>0</v>
      </c>
      <c r="J147">
        <v>0</v>
      </c>
      <c r="K147" s="40">
        <v>0</v>
      </c>
      <c r="L147">
        <v>0</v>
      </c>
      <c r="M147">
        <v>100000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40">
        <v>0</v>
      </c>
      <c r="W147">
        <v>0</v>
      </c>
      <c r="X147">
        <v>0</v>
      </c>
      <c r="Y147">
        <v>0</v>
      </c>
      <c r="Z147">
        <v>0</v>
      </c>
      <c r="AA147" s="40">
        <v>0</v>
      </c>
      <c r="AE147" s="40">
        <v>0</v>
      </c>
      <c r="AF147">
        <v>0</v>
      </c>
      <c r="AG147">
        <v>0</v>
      </c>
      <c r="AH147">
        <v>0</v>
      </c>
      <c r="AI147">
        <v>0</v>
      </c>
      <c r="AJ147">
        <v>0</v>
      </c>
    </row>
    <row r="148" spans="1:36" x14ac:dyDescent="0.3">
      <c r="A148" s="6" t="s">
        <v>500</v>
      </c>
      <c r="B148">
        <v>0</v>
      </c>
      <c r="C148">
        <v>0</v>
      </c>
      <c r="D148">
        <v>0</v>
      </c>
      <c r="E148">
        <v>0</v>
      </c>
      <c r="F148">
        <v>0</v>
      </c>
      <c r="G148" s="40">
        <v>0.6</v>
      </c>
      <c r="H148" s="6">
        <v>0</v>
      </c>
      <c r="I148">
        <v>0</v>
      </c>
      <c r="J148">
        <v>0</v>
      </c>
      <c r="K148" s="40">
        <v>0</v>
      </c>
      <c r="L148">
        <v>0</v>
      </c>
      <c r="M148">
        <v>0</v>
      </c>
      <c r="N148">
        <v>0</v>
      </c>
      <c r="O148">
        <v>100000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40">
        <v>0</v>
      </c>
      <c r="W148">
        <v>0</v>
      </c>
      <c r="X148">
        <v>0</v>
      </c>
      <c r="Y148">
        <v>0</v>
      </c>
      <c r="Z148">
        <v>0</v>
      </c>
      <c r="AA148" s="40">
        <v>0</v>
      </c>
      <c r="AE148" s="40">
        <v>0</v>
      </c>
      <c r="AF148">
        <v>0</v>
      </c>
      <c r="AG148">
        <v>0</v>
      </c>
      <c r="AH148">
        <v>0</v>
      </c>
      <c r="AI148">
        <v>0</v>
      </c>
      <c r="AJ148">
        <v>0</v>
      </c>
    </row>
    <row r="149" spans="1:36" x14ac:dyDescent="0.3">
      <c r="A149" s="6" t="s">
        <v>96</v>
      </c>
      <c r="B149">
        <v>100</v>
      </c>
      <c r="C149">
        <v>90</v>
      </c>
      <c r="G149" s="40">
        <v>0.52200000000000002</v>
      </c>
      <c r="H149" s="6">
        <v>58.58</v>
      </c>
      <c r="I149">
        <v>17</v>
      </c>
      <c r="J149">
        <v>401</v>
      </c>
      <c r="K149" s="40">
        <v>1000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s="40"/>
      <c r="AA149" s="40">
        <v>6.36</v>
      </c>
      <c r="AB149">
        <v>0.24</v>
      </c>
      <c r="AC149">
        <v>1175</v>
      </c>
      <c r="AE149" s="40"/>
      <c r="AF149">
        <v>31.2</v>
      </c>
    </row>
    <row r="150" spans="1:36" x14ac:dyDescent="0.3">
      <c r="A150" s="6" t="s">
        <v>97</v>
      </c>
      <c r="B150">
        <v>20</v>
      </c>
      <c r="C150">
        <v>30</v>
      </c>
      <c r="G150" s="40">
        <v>0.47199999999999998</v>
      </c>
      <c r="H150" s="6">
        <v>78.900000000000006</v>
      </c>
      <c r="I150">
        <v>13</v>
      </c>
      <c r="J150">
        <v>415</v>
      </c>
      <c r="K150" s="40">
        <v>1200</v>
      </c>
      <c r="L150">
        <v>240</v>
      </c>
      <c r="M150">
        <v>240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s="40"/>
      <c r="AA150" s="40">
        <v>1.82</v>
      </c>
      <c r="AB150">
        <v>0.32</v>
      </c>
      <c r="AE150" s="40"/>
      <c r="AF150">
        <v>5</v>
      </c>
    </row>
    <row r="151" spans="1:36" x14ac:dyDescent="0.3">
      <c r="A151" s="6" t="s">
        <v>497</v>
      </c>
      <c r="B151">
        <v>0</v>
      </c>
      <c r="C151">
        <v>0</v>
      </c>
      <c r="D151">
        <v>0</v>
      </c>
      <c r="E151">
        <v>0</v>
      </c>
      <c r="F151">
        <v>0</v>
      </c>
      <c r="G151" s="40">
        <v>0.63</v>
      </c>
      <c r="H151" s="6">
        <v>0</v>
      </c>
      <c r="I151">
        <v>0</v>
      </c>
      <c r="J151">
        <v>0</v>
      </c>
      <c r="K151" s="40">
        <v>0</v>
      </c>
      <c r="L151">
        <v>100000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s="40">
        <v>0</v>
      </c>
      <c r="W151">
        <v>0</v>
      </c>
      <c r="X151">
        <v>0</v>
      </c>
      <c r="Y151">
        <v>0</v>
      </c>
      <c r="Z151">
        <v>0</v>
      </c>
      <c r="AA151" s="40">
        <v>0</v>
      </c>
      <c r="AE151" s="40">
        <v>0</v>
      </c>
      <c r="AF151">
        <v>0</v>
      </c>
      <c r="AG151">
        <v>0</v>
      </c>
      <c r="AH151">
        <v>0</v>
      </c>
      <c r="AI151">
        <v>0</v>
      </c>
      <c r="AJ151">
        <v>0</v>
      </c>
    </row>
    <row r="152" spans="1:36" x14ac:dyDescent="0.3">
      <c r="A152" s="6" t="s">
        <v>553</v>
      </c>
      <c r="B152">
        <v>0</v>
      </c>
      <c r="C152">
        <v>0</v>
      </c>
      <c r="D152">
        <v>0</v>
      </c>
      <c r="E152">
        <v>0</v>
      </c>
      <c r="F152">
        <v>0</v>
      </c>
      <c r="G152" s="40">
        <v>1.26</v>
      </c>
      <c r="H152" s="6">
        <v>4.9000000000000004</v>
      </c>
      <c r="I152">
        <v>0</v>
      </c>
      <c r="J152">
        <v>0</v>
      </c>
      <c r="K152" s="40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40">
        <v>95100</v>
      </c>
      <c r="W152">
        <v>0</v>
      </c>
      <c r="X152">
        <v>0</v>
      </c>
      <c r="Y152">
        <v>0</v>
      </c>
      <c r="Z152">
        <v>0</v>
      </c>
      <c r="AA152" s="40">
        <v>0</v>
      </c>
      <c r="AB152">
        <v>0</v>
      </c>
      <c r="AC152">
        <v>0</v>
      </c>
      <c r="AE152" s="40">
        <v>0</v>
      </c>
      <c r="AF152">
        <v>0</v>
      </c>
      <c r="AG152">
        <v>0</v>
      </c>
      <c r="AH152">
        <v>0</v>
      </c>
      <c r="AI152">
        <v>0</v>
      </c>
      <c r="AJ152">
        <v>0</v>
      </c>
    </row>
    <row r="153" spans="1:36" x14ac:dyDescent="0.3">
      <c r="A153" s="6" t="s">
        <v>551</v>
      </c>
      <c r="B153">
        <v>0</v>
      </c>
      <c r="C153">
        <v>0</v>
      </c>
      <c r="D153">
        <v>0</v>
      </c>
      <c r="E153">
        <v>0</v>
      </c>
      <c r="F153">
        <v>0</v>
      </c>
      <c r="G153" s="40">
        <v>1.26</v>
      </c>
      <c r="H153" s="6">
        <v>4.9000000000000004</v>
      </c>
      <c r="I153">
        <v>0</v>
      </c>
      <c r="J153">
        <v>0</v>
      </c>
      <c r="K153" s="40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s="40">
        <v>95100</v>
      </c>
      <c r="W153">
        <v>0</v>
      </c>
      <c r="X153">
        <v>0</v>
      </c>
      <c r="Y153">
        <v>0</v>
      </c>
      <c r="Z153">
        <v>0</v>
      </c>
      <c r="AA153" s="40">
        <v>0</v>
      </c>
      <c r="AB153">
        <v>0</v>
      </c>
      <c r="AC153">
        <v>0</v>
      </c>
      <c r="AE153" s="40">
        <v>0</v>
      </c>
      <c r="AF153">
        <v>0</v>
      </c>
      <c r="AG153">
        <v>0</v>
      </c>
      <c r="AH153">
        <v>0</v>
      </c>
      <c r="AI153">
        <v>0</v>
      </c>
      <c r="AJ153">
        <v>0</v>
      </c>
    </row>
    <row r="154" spans="1:36" x14ac:dyDescent="0.3">
      <c r="A154" s="6" t="s">
        <v>532</v>
      </c>
      <c r="B154">
        <v>0</v>
      </c>
      <c r="C154">
        <v>0</v>
      </c>
      <c r="D154">
        <v>0</v>
      </c>
      <c r="E154">
        <v>0</v>
      </c>
      <c r="F154">
        <v>0</v>
      </c>
      <c r="G154" s="40">
        <v>1.43</v>
      </c>
      <c r="H154" s="6">
        <v>20</v>
      </c>
      <c r="I154">
        <v>0</v>
      </c>
      <c r="J154">
        <v>0</v>
      </c>
      <c r="K154" s="40">
        <v>25600</v>
      </c>
      <c r="L154">
        <v>19200</v>
      </c>
      <c r="M154">
        <v>18400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40">
        <v>0</v>
      </c>
      <c r="W154">
        <v>0</v>
      </c>
      <c r="X154">
        <v>0</v>
      </c>
      <c r="Y154">
        <v>0</v>
      </c>
      <c r="Z154">
        <v>0</v>
      </c>
      <c r="AA154" s="40">
        <v>0</v>
      </c>
      <c r="AB154">
        <v>0</v>
      </c>
      <c r="AC154">
        <v>0</v>
      </c>
      <c r="AE154" s="40">
        <v>0</v>
      </c>
      <c r="AF154">
        <v>0</v>
      </c>
      <c r="AG154">
        <v>0</v>
      </c>
      <c r="AH154">
        <v>0</v>
      </c>
      <c r="AI154">
        <v>0</v>
      </c>
      <c r="AJ154">
        <v>0</v>
      </c>
    </row>
    <row r="155" spans="1:36" x14ac:dyDescent="0.3">
      <c r="A155" s="6" t="s">
        <v>496</v>
      </c>
      <c r="B155">
        <v>0</v>
      </c>
      <c r="C155">
        <v>0</v>
      </c>
      <c r="D155">
        <v>0</v>
      </c>
      <c r="E155">
        <v>0</v>
      </c>
      <c r="F155">
        <v>0</v>
      </c>
      <c r="G155" s="40">
        <v>0.84899999999999998</v>
      </c>
      <c r="H155" s="6">
        <v>0.06</v>
      </c>
      <c r="I155">
        <v>0</v>
      </c>
      <c r="J155">
        <v>0</v>
      </c>
      <c r="K155" s="40">
        <v>99940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40">
        <v>0</v>
      </c>
      <c r="W155">
        <v>0</v>
      </c>
      <c r="X155">
        <v>0</v>
      </c>
      <c r="Y155">
        <v>0</v>
      </c>
      <c r="Z155">
        <v>0</v>
      </c>
      <c r="AA155" s="40">
        <v>0</v>
      </c>
      <c r="AE155" s="40">
        <v>0</v>
      </c>
      <c r="AF155">
        <v>0</v>
      </c>
      <c r="AG155">
        <v>0</v>
      </c>
      <c r="AH155">
        <v>0</v>
      </c>
      <c r="AI155">
        <v>0</v>
      </c>
      <c r="AJ155">
        <v>0</v>
      </c>
    </row>
    <row r="156" spans="1:36" x14ac:dyDescent="0.3">
      <c r="A156" s="6" t="s">
        <v>307</v>
      </c>
      <c r="B156">
        <v>184</v>
      </c>
      <c r="C156">
        <v>12</v>
      </c>
      <c r="G156" s="40">
        <v>0.48099999999999998</v>
      </c>
      <c r="H156" s="6">
        <v>80.540000000000006</v>
      </c>
      <c r="I156">
        <v>2</v>
      </c>
      <c r="J156">
        <v>191</v>
      </c>
      <c r="K156" s="40">
        <v>1460</v>
      </c>
      <c r="L156">
        <v>6873</v>
      </c>
      <c r="M156">
        <v>7247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40"/>
      <c r="AA156" s="40">
        <v>0.72</v>
      </c>
      <c r="AB156">
        <v>3</v>
      </c>
      <c r="AE156" s="40"/>
      <c r="AF156">
        <v>3.2</v>
      </c>
    </row>
    <row r="157" spans="1:36" x14ac:dyDescent="0.3">
      <c r="A157" s="6" t="s">
        <v>301</v>
      </c>
      <c r="B157">
        <v>11.5</v>
      </c>
      <c r="C157">
        <v>87.1</v>
      </c>
      <c r="G157" s="40">
        <v>0.56100000000000005</v>
      </c>
      <c r="H157" s="6">
        <v>88.06</v>
      </c>
      <c r="I157">
        <v>0</v>
      </c>
      <c r="J157">
        <v>135</v>
      </c>
      <c r="K157" s="40">
        <v>3437</v>
      </c>
      <c r="L157">
        <v>1727</v>
      </c>
      <c r="M157">
        <v>1727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40"/>
      <c r="AA157" s="40">
        <v>0.77</v>
      </c>
      <c r="AB157">
        <v>7.9</v>
      </c>
      <c r="AE157" s="40"/>
      <c r="AF157">
        <v>31.2</v>
      </c>
    </row>
    <row r="158" spans="1:36" x14ac:dyDescent="0.3">
      <c r="A158" s="6" t="s">
        <v>285</v>
      </c>
      <c r="B158">
        <v>110</v>
      </c>
      <c r="C158">
        <v>5</v>
      </c>
      <c r="G158" s="40">
        <v>0.56699999999999995</v>
      </c>
      <c r="H158" s="6">
        <v>78.59</v>
      </c>
      <c r="I158">
        <v>5</v>
      </c>
      <c r="J158">
        <v>244</v>
      </c>
      <c r="K158" s="40">
        <v>4990</v>
      </c>
      <c r="L158">
        <v>120</v>
      </c>
      <c r="M158">
        <v>390</v>
      </c>
      <c r="N158">
        <v>0</v>
      </c>
      <c r="O158">
        <v>0</v>
      </c>
      <c r="P158">
        <v>170</v>
      </c>
      <c r="Q158">
        <v>0</v>
      </c>
      <c r="R158">
        <v>0</v>
      </c>
      <c r="S158">
        <v>0</v>
      </c>
      <c r="T158">
        <v>0</v>
      </c>
      <c r="U158">
        <v>0</v>
      </c>
      <c r="V158" s="40"/>
      <c r="AA158" s="40">
        <v>5.42</v>
      </c>
      <c r="AE158" s="40"/>
      <c r="AF158">
        <v>40</v>
      </c>
    </row>
    <row r="159" spans="1:36" x14ac:dyDescent="0.3">
      <c r="A159" s="6" t="s">
        <v>98</v>
      </c>
      <c r="B159">
        <v>32</v>
      </c>
      <c r="C159">
        <v>21</v>
      </c>
      <c r="G159" s="40">
        <v>0.48</v>
      </c>
      <c r="H159" s="6">
        <v>93.9</v>
      </c>
      <c r="I159">
        <v>3</v>
      </c>
      <c r="J159">
        <v>175</v>
      </c>
      <c r="K159" s="40">
        <v>110</v>
      </c>
      <c r="L159">
        <v>1160</v>
      </c>
      <c r="M159">
        <v>1120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40"/>
      <c r="AA159" s="40">
        <v>0.86</v>
      </c>
      <c r="AB159">
        <v>5.5</v>
      </c>
      <c r="AE159" s="40"/>
      <c r="AF159">
        <v>80.400000000000006</v>
      </c>
    </row>
    <row r="160" spans="1:36" x14ac:dyDescent="0.3">
      <c r="A160" s="6" t="s">
        <v>99</v>
      </c>
      <c r="B160">
        <v>35</v>
      </c>
      <c r="G160" s="40">
        <v>0.42</v>
      </c>
      <c r="H160" s="6">
        <v>89.83</v>
      </c>
      <c r="I160">
        <v>16</v>
      </c>
      <c r="J160">
        <v>276</v>
      </c>
      <c r="K160" s="40">
        <v>280</v>
      </c>
      <c r="L160">
        <v>1176</v>
      </c>
      <c r="M160">
        <v>877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40"/>
      <c r="AA160" s="40">
        <v>1.83</v>
      </c>
      <c r="AB160">
        <v>0.16</v>
      </c>
      <c r="AC160">
        <v>142</v>
      </c>
      <c r="AE160" s="40"/>
      <c r="AF160">
        <v>18.8</v>
      </c>
    </row>
    <row r="161" spans="1:36" x14ac:dyDescent="0.3">
      <c r="A161" s="6" t="s">
        <v>100</v>
      </c>
      <c r="B161">
        <v>750</v>
      </c>
      <c r="G161" s="40">
        <v>0.35</v>
      </c>
      <c r="H161" s="6">
        <v>19</v>
      </c>
      <c r="I161">
        <v>30</v>
      </c>
      <c r="J161">
        <v>22000</v>
      </c>
      <c r="K161" s="40">
        <v>0</v>
      </c>
      <c r="L161">
        <v>102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40"/>
      <c r="AA161" s="40">
        <v>21</v>
      </c>
      <c r="AE161" s="40"/>
      <c r="AF161">
        <v>265</v>
      </c>
    </row>
    <row r="162" spans="1:36" x14ac:dyDescent="0.3">
      <c r="A162" s="6" t="s">
        <v>101</v>
      </c>
      <c r="B162">
        <v>340</v>
      </c>
      <c r="C162">
        <v>68</v>
      </c>
      <c r="G162" s="40">
        <v>0.59</v>
      </c>
      <c r="H162" s="6">
        <v>18</v>
      </c>
      <c r="I162">
        <v>2110</v>
      </c>
      <c r="J162">
        <v>679</v>
      </c>
      <c r="K162" s="40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40"/>
      <c r="AA162" s="40">
        <v>35.700000000000003</v>
      </c>
      <c r="AE162" s="40"/>
    </row>
    <row r="163" spans="1:36" x14ac:dyDescent="0.3">
      <c r="A163" s="6" t="s">
        <v>258</v>
      </c>
      <c r="B163">
        <v>60.7</v>
      </c>
      <c r="G163" s="40">
        <v>1.02</v>
      </c>
      <c r="H163" s="6">
        <v>55</v>
      </c>
      <c r="I163">
        <v>66</v>
      </c>
      <c r="J163">
        <v>342</v>
      </c>
      <c r="K163" s="40"/>
      <c r="V163" s="40"/>
      <c r="AA163" s="40"/>
      <c r="AB163">
        <v>17.5</v>
      </c>
      <c r="AE163" s="40"/>
    </row>
    <row r="164" spans="1:36" x14ac:dyDescent="0.3">
      <c r="A164" s="6" t="s">
        <v>523</v>
      </c>
      <c r="B164">
        <v>0</v>
      </c>
      <c r="C164">
        <v>0</v>
      </c>
      <c r="D164">
        <v>0</v>
      </c>
      <c r="E164">
        <v>0</v>
      </c>
      <c r="F164">
        <v>0</v>
      </c>
      <c r="G164" s="40">
        <v>1.335</v>
      </c>
      <c r="H164" s="6">
        <v>29</v>
      </c>
      <c r="I164">
        <v>0</v>
      </c>
      <c r="J164">
        <v>0</v>
      </c>
      <c r="K164" s="40">
        <v>0</v>
      </c>
      <c r="L164">
        <v>41180</v>
      </c>
      <c r="M164">
        <v>29820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40">
        <v>0</v>
      </c>
      <c r="W164">
        <v>0</v>
      </c>
      <c r="X164">
        <v>0</v>
      </c>
      <c r="Y164">
        <v>0</v>
      </c>
      <c r="Z164">
        <v>0</v>
      </c>
      <c r="AA164" s="40">
        <v>0</v>
      </c>
      <c r="AB164">
        <v>0</v>
      </c>
      <c r="AC164">
        <v>0</v>
      </c>
      <c r="AE164" s="40">
        <v>0</v>
      </c>
      <c r="AF164">
        <v>0</v>
      </c>
      <c r="AG164">
        <v>0</v>
      </c>
      <c r="AH164">
        <v>0</v>
      </c>
      <c r="AI164">
        <v>0</v>
      </c>
      <c r="AJ164">
        <v>0</v>
      </c>
    </row>
    <row r="165" spans="1:36" x14ac:dyDescent="0.3">
      <c r="A165" s="6" t="s">
        <v>524</v>
      </c>
      <c r="B165">
        <v>0</v>
      </c>
      <c r="C165">
        <v>0</v>
      </c>
      <c r="D165">
        <v>0</v>
      </c>
      <c r="E165">
        <v>0</v>
      </c>
      <c r="F165">
        <v>0</v>
      </c>
      <c r="G165" s="40">
        <v>1.3827</v>
      </c>
      <c r="H165" s="6">
        <v>24</v>
      </c>
      <c r="I165">
        <v>0</v>
      </c>
      <c r="J165">
        <v>0</v>
      </c>
      <c r="K165" s="40">
        <v>0</v>
      </c>
      <c r="L165">
        <v>34200</v>
      </c>
      <c r="M165">
        <v>41800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40">
        <v>0</v>
      </c>
      <c r="W165">
        <v>0</v>
      </c>
      <c r="X165">
        <v>0</v>
      </c>
      <c r="Y165">
        <v>0</v>
      </c>
      <c r="Z165">
        <v>0</v>
      </c>
      <c r="AA165" s="40">
        <v>0</v>
      </c>
      <c r="AB165">
        <v>0</v>
      </c>
      <c r="AC165">
        <v>0</v>
      </c>
      <c r="AE165" s="40">
        <v>0</v>
      </c>
      <c r="AF165">
        <v>0</v>
      </c>
      <c r="AG165">
        <v>0</v>
      </c>
      <c r="AH165">
        <v>0</v>
      </c>
      <c r="AI165">
        <v>0</v>
      </c>
      <c r="AJ165">
        <v>0</v>
      </c>
    </row>
    <row r="166" spans="1:36" x14ac:dyDescent="0.3">
      <c r="A166" s="6" t="s">
        <v>525</v>
      </c>
      <c r="B166">
        <v>0</v>
      </c>
      <c r="C166">
        <v>0</v>
      </c>
      <c r="D166">
        <v>0</v>
      </c>
      <c r="E166">
        <v>0</v>
      </c>
      <c r="F166">
        <v>0</v>
      </c>
      <c r="G166" s="40">
        <v>1.407</v>
      </c>
      <c r="H166" s="6">
        <v>24</v>
      </c>
      <c r="I166">
        <v>0</v>
      </c>
      <c r="J166">
        <v>0</v>
      </c>
      <c r="K166" s="40">
        <v>0</v>
      </c>
      <c r="L166">
        <v>7600</v>
      </c>
      <c r="M166">
        <v>68400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40">
        <v>0</v>
      </c>
      <c r="W166">
        <v>0</v>
      </c>
      <c r="X166">
        <v>0</v>
      </c>
      <c r="Y166">
        <v>0</v>
      </c>
      <c r="Z166">
        <v>0</v>
      </c>
      <c r="AA166" s="40">
        <v>0</v>
      </c>
      <c r="AB166">
        <v>0</v>
      </c>
      <c r="AC166">
        <v>0</v>
      </c>
      <c r="AE166" s="40">
        <v>0</v>
      </c>
      <c r="AF166">
        <v>0</v>
      </c>
      <c r="AG166">
        <v>0</v>
      </c>
      <c r="AH166">
        <v>0</v>
      </c>
      <c r="AI166">
        <v>0</v>
      </c>
      <c r="AJ166">
        <v>0</v>
      </c>
    </row>
    <row r="167" spans="1:36" x14ac:dyDescent="0.3">
      <c r="A167" s="6" t="s">
        <v>518</v>
      </c>
      <c r="B167">
        <v>0</v>
      </c>
      <c r="C167">
        <v>0</v>
      </c>
      <c r="D167">
        <v>0</v>
      </c>
      <c r="E167">
        <v>0</v>
      </c>
      <c r="F167">
        <v>0</v>
      </c>
      <c r="G167" s="40">
        <v>1.03</v>
      </c>
      <c r="H167" s="6">
        <v>0</v>
      </c>
      <c r="I167">
        <v>38552</v>
      </c>
      <c r="J167">
        <v>280</v>
      </c>
      <c r="K167" s="40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40">
        <v>0</v>
      </c>
      <c r="W167">
        <v>0</v>
      </c>
      <c r="X167">
        <v>0</v>
      </c>
      <c r="Y167">
        <v>0</v>
      </c>
      <c r="Z167">
        <v>0</v>
      </c>
      <c r="AA167" s="40">
        <v>0</v>
      </c>
      <c r="AB167">
        <v>0</v>
      </c>
      <c r="AC167">
        <v>0</v>
      </c>
      <c r="AE167" s="40">
        <v>0</v>
      </c>
      <c r="AF167">
        <v>0</v>
      </c>
      <c r="AG167">
        <v>0</v>
      </c>
      <c r="AH167">
        <v>0</v>
      </c>
      <c r="AI167">
        <v>0</v>
      </c>
      <c r="AJ167">
        <v>0</v>
      </c>
    </row>
    <row r="168" spans="1:36" x14ac:dyDescent="0.3">
      <c r="A168" s="6" t="s">
        <v>526</v>
      </c>
      <c r="B168">
        <v>0</v>
      </c>
      <c r="C168">
        <v>0</v>
      </c>
      <c r="D168">
        <v>0</v>
      </c>
      <c r="E168">
        <v>0</v>
      </c>
      <c r="F168">
        <v>0</v>
      </c>
      <c r="G168" s="40">
        <v>1.415</v>
      </c>
      <c r="H168" s="6">
        <v>17.05</v>
      </c>
      <c r="I168">
        <v>4</v>
      </c>
      <c r="J168">
        <v>54</v>
      </c>
      <c r="K168" s="40">
        <v>890</v>
      </c>
      <c r="L168">
        <v>35800</v>
      </c>
      <c r="M168">
        <v>40900</v>
      </c>
      <c r="N168">
        <v>0</v>
      </c>
      <c r="O168">
        <v>3100</v>
      </c>
      <c r="P168">
        <v>1440</v>
      </c>
      <c r="Q168">
        <v>0</v>
      </c>
      <c r="R168">
        <v>0</v>
      </c>
      <c r="S168">
        <v>0</v>
      </c>
      <c r="T168">
        <v>0</v>
      </c>
      <c r="U168">
        <v>0</v>
      </c>
      <c r="V168" s="40">
        <v>0</v>
      </c>
      <c r="W168">
        <v>0</v>
      </c>
      <c r="X168">
        <v>0</v>
      </c>
      <c r="Y168">
        <v>0</v>
      </c>
      <c r="Z168">
        <v>0</v>
      </c>
      <c r="AA168" s="40">
        <v>0.3</v>
      </c>
      <c r="AB168">
        <v>0</v>
      </c>
      <c r="AC168">
        <v>0</v>
      </c>
      <c r="AE168" s="40">
        <v>0</v>
      </c>
      <c r="AF168">
        <v>0</v>
      </c>
      <c r="AG168">
        <v>0</v>
      </c>
      <c r="AH168">
        <v>0</v>
      </c>
      <c r="AI168">
        <v>0</v>
      </c>
      <c r="AJ168">
        <v>0</v>
      </c>
    </row>
    <row r="169" spans="1:36" x14ac:dyDescent="0.3">
      <c r="A169" s="6" t="s">
        <v>527</v>
      </c>
      <c r="B169">
        <v>0</v>
      </c>
      <c r="C169">
        <v>0</v>
      </c>
      <c r="D169">
        <v>0</v>
      </c>
      <c r="E169">
        <v>0</v>
      </c>
      <c r="F169">
        <v>0</v>
      </c>
      <c r="G169" s="40">
        <v>1.36</v>
      </c>
      <c r="H169" s="6">
        <v>23</v>
      </c>
      <c r="I169">
        <v>0</v>
      </c>
      <c r="J169">
        <v>0</v>
      </c>
      <c r="K169" s="40">
        <v>31185</v>
      </c>
      <c r="L169">
        <v>22330</v>
      </c>
      <c r="M169">
        <v>23870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40">
        <v>0</v>
      </c>
      <c r="W169">
        <v>0</v>
      </c>
      <c r="X169">
        <v>0</v>
      </c>
      <c r="Y169">
        <v>0</v>
      </c>
      <c r="Z169">
        <v>0</v>
      </c>
      <c r="AA169" s="40">
        <v>0</v>
      </c>
      <c r="AB169">
        <v>0</v>
      </c>
      <c r="AC169">
        <v>0</v>
      </c>
      <c r="AE169" s="40">
        <v>0</v>
      </c>
      <c r="AF169">
        <v>0</v>
      </c>
      <c r="AG169">
        <v>0</v>
      </c>
      <c r="AH169">
        <v>0</v>
      </c>
      <c r="AI169">
        <v>0</v>
      </c>
      <c r="AJ169">
        <v>0</v>
      </c>
    </row>
    <row r="170" spans="1:36" x14ac:dyDescent="0.3">
      <c r="A170" s="6" t="s">
        <v>511</v>
      </c>
      <c r="B170">
        <v>0</v>
      </c>
      <c r="C170">
        <v>0</v>
      </c>
      <c r="D170">
        <v>0</v>
      </c>
      <c r="E170">
        <v>0</v>
      </c>
      <c r="F170">
        <v>0</v>
      </c>
      <c r="G170" s="40">
        <v>1.2</v>
      </c>
      <c r="H170" s="6">
        <v>2.75</v>
      </c>
      <c r="I170">
        <v>38175</v>
      </c>
      <c r="J170">
        <v>0</v>
      </c>
      <c r="K170" s="4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40">
        <v>0</v>
      </c>
      <c r="W170">
        <v>0</v>
      </c>
      <c r="X170">
        <v>0</v>
      </c>
      <c r="Y170">
        <v>0</v>
      </c>
      <c r="Z170">
        <v>0</v>
      </c>
      <c r="AA170" s="40">
        <v>0</v>
      </c>
      <c r="AB170">
        <v>0</v>
      </c>
      <c r="AC170">
        <v>0</v>
      </c>
      <c r="AE170" s="40">
        <v>0</v>
      </c>
      <c r="AF170">
        <v>0</v>
      </c>
      <c r="AG170">
        <v>0</v>
      </c>
      <c r="AH170">
        <v>0</v>
      </c>
      <c r="AI170">
        <v>0</v>
      </c>
      <c r="AJ170">
        <v>0</v>
      </c>
    </row>
    <row r="171" spans="1:36" x14ac:dyDescent="0.3">
      <c r="A171" s="6" t="s">
        <v>309</v>
      </c>
      <c r="B171">
        <v>3</v>
      </c>
      <c r="C171">
        <v>25</v>
      </c>
      <c r="G171" s="40">
        <v>1.33</v>
      </c>
      <c r="H171" s="6">
        <v>88.2</v>
      </c>
      <c r="I171">
        <v>4</v>
      </c>
      <c r="J171">
        <v>101</v>
      </c>
      <c r="K171" s="40">
        <v>1260</v>
      </c>
      <c r="L171">
        <v>2630</v>
      </c>
      <c r="M171">
        <v>5730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40"/>
      <c r="AA171" s="40">
        <v>0.1</v>
      </c>
      <c r="AB171">
        <v>0</v>
      </c>
      <c r="AE171" s="40"/>
      <c r="AF171">
        <v>0.9</v>
      </c>
    </row>
    <row r="172" spans="1:36" x14ac:dyDescent="0.3">
      <c r="A172" s="6" t="s">
        <v>308</v>
      </c>
      <c r="B172">
        <v>258</v>
      </c>
      <c r="C172">
        <v>16.8</v>
      </c>
      <c r="G172" s="40">
        <v>1.054</v>
      </c>
      <c r="H172" s="6">
        <v>84.5</v>
      </c>
      <c r="I172">
        <v>5</v>
      </c>
      <c r="J172">
        <v>104</v>
      </c>
      <c r="K172" s="40">
        <v>40</v>
      </c>
      <c r="L172">
        <v>6810</v>
      </c>
      <c r="M172">
        <v>7360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40"/>
      <c r="AA172" s="40">
        <v>0.37</v>
      </c>
      <c r="AE172" s="40"/>
      <c r="AF172">
        <v>0.1</v>
      </c>
    </row>
    <row r="173" spans="1:36" x14ac:dyDescent="0.3">
      <c r="A173" s="6" t="s">
        <v>302</v>
      </c>
      <c r="B173">
        <v>18.600000000000001</v>
      </c>
      <c r="C173">
        <v>130</v>
      </c>
      <c r="G173" s="40">
        <v>1.0349999999999999</v>
      </c>
      <c r="H173" s="6">
        <v>91</v>
      </c>
      <c r="I173">
        <v>1</v>
      </c>
      <c r="J173">
        <v>162</v>
      </c>
      <c r="K173" s="40">
        <v>2800</v>
      </c>
      <c r="L173">
        <v>2500</v>
      </c>
      <c r="M173">
        <v>2700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40"/>
      <c r="AA173" s="40">
        <v>0.5</v>
      </c>
      <c r="AB173">
        <v>0</v>
      </c>
      <c r="AE173" s="40"/>
      <c r="AF173">
        <v>38</v>
      </c>
    </row>
    <row r="174" spans="1:36" x14ac:dyDescent="0.3">
      <c r="A174" s="6" t="s">
        <v>260</v>
      </c>
      <c r="B174">
        <v>21</v>
      </c>
      <c r="C174">
        <v>89</v>
      </c>
      <c r="G174" s="40">
        <v>1.01</v>
      </c>
      <c r="H174" s="6">
        <v>88.3</v>
      </c>
      <c r="I174">
        <v>1</v>
      </c>
      <c r="J174">
        <v>200</v>
      </c>
      <c r="K174" s="40">
        <v>4640</v>
      </c>
      <c r="L174">
        <v>3099</v>
      </c>
      <c r="M174">
        <v>3305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40"/>
      <c r="AA174" s="40">
        <v>0.7</v>
      </c>
      <c r="AB174">
        <v>4.2</v>
      </c>
      <c r="AE174" s="40"/>
      <c r="AF174">
        <v>50</v>
      </c>
    </row>
    <row r="175" spans="1:36" x14ac:dyDescent="0.3">
      <c r="A175" s="6" t="s">
        <v>304</v>
      </c>
      <c r="B175">
        <v>32</v>
      </c>
      <c r="C175">
        <v>212</v>
      </c>
      <c r="G175" s="40">
        <v>1.163</v>
      </c>
      <c r="H175" s="6">
        <v>87.3</v>
      </c>
      <c r="I175">
        <v>8</v>
      </c>
      <c r="J175">
        <v>50</v>
      </c>
      <c r="K175" s="40">
        <v>550</v>
      </c>
      <c r="L175">
        <v>5230</v>
      </c>
      <c r="M175">
        <v>5380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40"/>
      <c r="AA175" s="40">
        <v>0.21</v>
      </c>
      <c r="AE175" s="40"/>
      <c r="AF175">
        <v>30.2</v>
      </c>
    </row>
    <row r="176" spans="1:36" x14ac:dyDescent="0.3">
      <c r="A176" s="6" t="s">
        <v>261</v>
      </c>
      <c r="B176">
        <v>190</v>
      </c>
      <c r="C176">
        <v>57</v>
      </c>
      <c r="G176" s="40">
        <v>1.03</v>
      </c>
      <c r="H176" s="6">
        <v>94.2</v>
      </c>
      <c r="I176">
        <v>10</v>
      </c>
      <c r="J176">
        <v>217</v>
      </c>
      <c r="K176" s="40">
        <v>0</v>
      </c>
      <c r="L176">
        <v>1250</v>
      </c>
      <c r="M176">
        <v>1330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40"/>
      <c r="AA176" s="40">
        <v>0.85</v>
      </c>
      <c r="AB176">
        <v>1.6</v>
      </c>
      <c r="AE176" s="40"/>
      <c r="AF176">
        <v>70.099999999999994</v>
      </c>
    </row>
    <row r="177" spans="1:36" x14ac:dyDescent="0.3">
      <c r="A177" s="6" t="s">
        <v>102</v>
      </c>
      <c r="B177">
        <v>55</v>
      </c>
      <c r="C177">
        <v>41</v>
      </c>
      <c r="G177" s="40">
        <v>0.09</v>
      </c>
      <c r="H177" s="6">
        <v>89.6</v>
      </c>
      <c r="I177">
        <v>53</v>
      </c>
      <c r="J177">
        <v>348</v>
      </c>
      <c r="K177" s="40">
        <v>0</v>
      </c>
      <c r="L177">
        <v>400</v>
      </c>
      <c r="M177">
        <v>400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40"/>
      <c r="AA177" s="40">
        <v>2.92</v>
      </c>
      <c r="AE177" s="40"/>
      <c r="AF177">
        <v>93.4</v>
      </c>
    </row>
    <row r="178" spans="1:36" x14ac:dyDescent="0.3">
      <c r="A178" s="6" t="s">
        <v>103</v>
      </c>
      <c r="B178">
        <v>212</v>
      </c>
      <c r="C178">
        <v>111</v>
      </c>
      <c r="G178" s="40">
        <v>1.1499999999999999</v>
      </c>
      <c r="H178" s="6">
        <v>68.510000000000005</v>
      </c>
      <c r="I178">
        <v>907</v>
      </c>
      <c r="J178">
        <v>281</v>
      </c>
      <c r="K178" s="40">
        <v>21340</v>
      </c>
      <c r="L178">
        <v>3650</v>
      </c>
      <c r="M178">
        <v>3650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40"/>
      <c r="AA178" s="40">
        <v>1.04</v>
      </c>
      <c r="AE178" s="40"/>
      <c r="AF178">
        <v>4.0999999999999996</v>
      </c>
    </row>
    <row r="179" spans="1:36" x14ac:dyDescent="0.3">
      <c r="A179" s="6" t="s">
        <v>104</v>
      </c>
      <c r="B179">
        <v>240</v>
      </c>
      <c r="G179" s="40">
        <v>0.63</v>
      </c>
      <c r="H179" s="6">
        <v>94.3</v>
      </c>
      <c r="I179">
        <v>498</v>
      </c>
      <c r="J179">
        <v>151</v>
      </c>
      <c r="K179" s="40">
        <v>17</v>
      </c>
      <c r="L179">
        <v>597</v>
      </c>
      <c r="M179">
        <v>168</v>
      </c>
      <c r="N179">
        <v>0</v>
      </c>
      <c r="O179">
        <v>7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40">
        <v>0</v>
      </c>
      <c r="W179">
        <v>7</v>
      </c>
      <c r="X179">
        <v>0</v>
      </c>
      <c r="Y179">
        <v>0</v>
      </c>
      <c r="Z179">
        <v>1216</v>
      </c>
      <c r="AA179" s="40">
        <v>1.1000000000000001</v>
      </c>
      <c r="AE179" s="40"/>
      <c r="AF179">
        <v>0</v>
      </c>
    </row>
    <row r="180" spans="1:36" x14ac:dyDescent="0.3">
      <c r="A180" s="6" t="s">
        <v>517</v>
      </c>
      <c r="B180">
        <v>0</v>
      </c>
      <c r="C180">
        <v>0</v>
      </c>
      <c r="D180">
        <v>0</v>
      </c>
      <c r="E180">
        <v>0</v>
      </c>
      <c r="F180">
        <v>0</v>
      </c>
      <c r="G180" s="40">
        <v>1.2</v>
      </c>
      <c r="H180" s="6">
        <v>0.1</v>
      </c>
      <c r="I180">
        <v>39356</v>
      </c>
      <c r="J180">
        <v>0</v>
      </c>
      <c r="K180" s="4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40">
        <v>0</v>
      </c>
      <c r="W180">
        <v>0</v>
      </c>
      <c r="X180">
        <v>0</v>
      </c>
      <c r="Y180">
        <v>0</v>
      </c>
      <c r="Z180">
        <v>0</v>
      </c>
      <c r="AA180" s="40">
        <v>0</v>
      </c>
      <c r="AE180" s="40">
        <v>0</v>
      </c>
      <c r="AF180">
        <v>0</v>
      </c>
      <c r="AG180">
        <v>0</v>
      </c>
      <c r="AH180">
        <v>0</v>
      </c>
      <c r="AI180">
        <v>0</v>
      </c>
      <c r="AJ180">
        <v>0</v>
      </c>
    </row>
    <row r="181" spans="1:36" x14ac:dyDescent="0.3">
      <c r="A181" s="6" t="s">
        <v>501</v>
      </c>
      <c r="B181">
        <v>0</v>
      </c>
      <c r="C181">
        <v>0</v>
      </c>
      <c r="D181">
        <v>0</v>
      </c>
      <c r="E181">
        <v>0</v>
      </c>
      <c r="F181">
        <v>0</v>
      </c>
      <c r="G181" s="40">
        <v>1.52</v>
      </c>
      <c r="H181" s="6">
        <v>0</v>
      </c>
      <c r="I181">
        <v>0</v>
      </c>
      <c r="J181">
        <v>0</v>
      </c>
      <c r="K181" s="40">
        <v>0</v>
      </c>
      <c r="L181">
        <v>0</v>
      </c>
      <c r="M181">
        <v>0</v>
      </c>
      <c r="N181">
        <v>100000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40">
        <v>0</v>
      </c>
      <c r="W181">
        <v>0</v>
      </c>
      <c r="X181">
        <v>0</v>
      </c>
      <c r="Y181">
        <v>0</v>
      </c>
      <c r="Z181">
        <v>0</v>
      </c>
      <c r="AA181" s="40">
        <v>0</v>
      </c>
      <c r="AE181" s="40">
        <v>0</v>
      </c>
      <c r="AF181">
        <v>0</v>
      </c>
      <c r="AG181">
        <v>0</v>
      </c>
      <c r="AH181">
        <v>0</v>
      </c>
      <c r="AI181">
        <v>0</v>
      </c>
      <c r="AJ181">
        <v>0</v>
      </c>
    </row>
    <row r="182" spans="1:36" x14ac:dyDescent="0.3">
      <c r="A182" s="6" t="s">
        <v>105</v>
      </c>
      <c r="B182">
        <v>47</v>
      </c>
      <c r="C182">
        <v>19</v>
      </c>
      <c r="G182" s="40">
        <v>0.52</v>
      </c>
      <c r="H182" s="6">
        <v>72.5</v>
      </c>
      <c r="I182">
        <v>59</v>
      </c>
      <c r="J182">
        <v>222</v>
      </c>
      <c r="K182" s="40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40"/>
      <c r="AA182" s="40">
        <v>16.600000000000001</v>
      </c>
      <c r="AB182">
        <v>23.9</v>
      </c>
      <c r="AE182" s="40"/>
      <c r="AF182">
        <v>0</v>
      </c>
    </row>
    <row r="183" spans="1:36" x14ac:dyDescent="0.3">
      <c r="A183" s="6" t="s">
        <v>106</v>
      </c>
      <c r="B183">
        <v>13</v>
      </c>
      <c r="C183">
        <v>7</v>
      </c>
      <c r="G183" s="40">
        <v>0.38</v>
      </c>
      <c r="H183" s="6">
        <v>83</v>
      </c>
      <c r="I183">
        <v>20</v>
      </c>
      <c r="J183">
        <v>180</v>
      </c>
      <c r="K183" s="40">
        <v>300</v>
      </c>
      <c r="L183">
        <v>700</v>
      </c>
      <c r="M183">
        <v>800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40"/>
      <c r="AA183" s="40">
        <v>1.5</v>
      </c>
      <c r="AB183">
        <v>0.79</v>
      </c>
      <c r="AC183">
        <v>248</v>
      </c>
      <c r="AE183" s="40"/>
      <c r="AF183">
        <v>12</v>
      </c>
    </row>
    <row r="184" spans="1:36" x14ac:dyDescent="0.3">
      <c r="A184" s="6" t="s">
        <v>107</v>
      </c>
      <c r="B184">
        <v>9</v>
      </c>
      <c r="C184">
        <v>46</v>
      </c>
      <c r="G184" s="40">
        <v>0.626</v>
      </c>
      <c r="H184" s="6">
        <v>88.98</v>
      </c>
      <c r="I184">
        <v>2</v>
      </c>
      <c r="J184">
        <v>138</v>
      </c>
      <c r="K184" s="40">
        <v>430</v>
      </c>
      <c r="L184">
        <v>990</v>
      </c>
      <c r="M184">
        <v>1100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40"/>
      <c r="AA184" s="40">
        <v>0.35</v>
      </c>
      <c r="AB184">
        <v>8.6999999999999993</v>
      </c>
      <c r="AE184" s="40"/>
      <c r="AF184">
        <v>38.700000000000003</v>
      </c>
    </row>
    <row r="185" spans="1:36" x14ac:dyDescent="0.3">
      <c r="A185" s="6" t="s">
        <v>108</v>
      </c>
      <c r="B185">
        <v>158</v>
      </c>
      <c r="C185">
        <v>73</v>
      </c>
      <c r="G185" s="40">
        <v>0.80500000000000005</v>
      </c>
      <c r="H185" s="6">
        <v>7.82</v>
      </c>
      <c r="I185">
        <v>7</v>
      </c>
      <c r="J185">
        <v>668</v>
      </c>
      <c r="K185" s="40">
        <v>712</v>
      </c>
      <c r="L185">
        <v>34.6</v>
      </c>
      <c r="M185">
        <v>5.5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3.6</v>
      </c>
      <c r="V185" s="40">
        <v>0</v>
      </c>
      <c r="W185">
        <v>662</v>
      </c>
      <c r="X185">
        <v>0</v>
      </c>
      <c r="Y185">
        <v>24</v>
      </c>
      <c r="Z185">
        <v>22</v>
      </c>
      <c r="AA185" s="40">
        <v>23.9</v>
      </c>
      <c r="AE185" s="40"/>
      <c r="AF185">
        <v>1.7</v>
      </c>
    </row>
    <row r="186" spans="1:36" x14ac:dyDescent="0.3">
      <c r="A186" s="6" t="s">
        <v>109</v>
      </c>
      <c r="B186">
        <v>47</v>
      </c>
      <c r="C186">
        <v>7</v>
      </c>
      <c r="G186" s="40">
        <v>0.2</v>
      </c>
      <c r="H186" s="6">
        <v>95</v>
      </c>
      <c r="I186">
        <v>28</v>
      </c>
      <c r="J186">
        <v>194</v>
      </c>
      <c r="K186" s="40">
        <v>0</v>
      </c>
      <c r="L186">
        <v>360</v>
      </c>
      <c r="M186">
        <v>430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40"/>
      <c r="AA186" s="40">
        <v>1.36</v>
      </c>
      <c r="AB186">
        <v>0.51</v>
      </c>
      <c r="AE186" s="40"/>
      <c r="AF186">
        <v>9.1999999999999993</v>
      </c>
    </row>
    <row r="187" spans="1:36" x14ac:dyDescent="0.3">
      <c r="A187" s="6" t="s">
        <v>110</v>
      </c>
      <c r="B187">
        <v>30</v>
      </c>
      <c r="C187">
        <v>25</v>
      </c>
      <c r="G187" s="40">
        <v>0.23</v>
      </c>
      <c r="H187" s="6">
        <v>95.6</v>
      </c>
      <c r="I187">
        <v>5</v>
      </c>
      <c r="J187">
        <v>238</v>
      </c>
      <c r="K187" s="40">
        <v>0</v>
      </c>
      <c r="L187">
        <v>430</v>
      </c>
      <c r="M187">
        <v>510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40"/>
      <c r="AA187" s="40">
        <v>1.35</v>
      </c>
      <c r="AB187">
        <v>0.13</v>
      </c>
      <c r="AE187" s="40"/>
      <c r="AF187">
        <v>3.7</v>
      </c>
    </row>
    <row r="188" spans="1:36" x14ac:dyDescent="0.3">
      <c r="A188" s="6" t="s">
        <v>111</v>
      </c>
      <c r="B188">
        <v>21</v>
      </c>
      <c r="C188">
        <v>11</v>
      </c>
      <c r="G188" s="40">
        <v>0.2</v>
      </c>
      <c r="H188" s="6">
        <v>94.98</v>
      </c>
      <c r="I188">
        <v>28</v>
      </c>
      <c r="J188">
        <v>194</v>
      </c>
      <c r="K188" s="40">
        <v>0</v>
      </c>
      <c r="L188">
        <v>390</v>
      </c>
      <c r="M188">
        <v>390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40"/>
      <c r="AA188" s="40">
        <v>1.36</v>
      </c>
      <c r="AB188">
        <v>2.6</v>
      </c>
      <c r="AE188" s="40"/>
      <c r="AF188">
        <v>9.1999999999999993</v>
      </c>
    </row>
    <row r="189" spans="1:36" x14ac:dyDescent="0.3">
      <c r="A189" s="6" t="s">
        <v>112</v>
      </c>
      <c r="B189">
        <v>7.4</v>
      </c>
      <c r="E189">
        <v>1.4</v>
      </c>
      <c r="G189" s="40">
        <v>0.61</v>
      </c>
      <c r="H189" s="6">
        <v>78.099999999999994</v>
      </c>
      <c r="I189">
        <v>486</v>
      </c>
      <c r="J189">
        <v>230</v>
      </c>
      <c r="K189" s="40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40"/>
      <c r="AA189" s="40">
        <v>19</v>
      </c>
      <c r="AE189" s="40"/>
      <c r="AF189">
        <v>0</v>
      </c>
    </row>
    <row r="190" spans="1:36" x14ac:dyDescent="0.3">
      <c r="A190" s="6" t="s">
        <v>113</v>
      </c>
      <c r="B190">
        <v>100</v>
      </c>
      <c r="C190">
        <v>34</v>
      </c>
      <c r="G190" s="40">
        <v>0.81899999999999995</v>
      </c>
      <c r="H190" s="6">
        <v>79.099999999999994</v>
      </c>
      <c r="I190">
        <v>40</v>
      </c>
      <c r="J190">
        <v>556</v>
      </c>
      <c r="K190" s="4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 s="40">
        <v>2.6</v>
      </c>
      <c r="AE190" s="40"/>
      <c r="AF190">
        <v>44</v>
      </c>
    </row>
    <row r="191" spans="1:36" x14ac:dyDescent="0.3">
      <c r="A191" s="6" t="s">
        <v>547</v>
      </c>
      <c r="B191">
        <v>0</v>
      </c>
      <c r="C191">
        <v>0</v>
      </c>
      <c r="D191">
        <v>0</v>
      </c>
      <c r="E191">
        <v>0</v>
      </c>
      <c r="F191">
        <v>0</v>
      </c>
      <c r="G191" s="40">
        <v>1.54</v>
      </c>
      <c r="H191" s="6">
        <v>0</v>
      </c>
      <c r="I191">
        <v>0</v>
      </c>
      <c r="J191">
        <v>0</v>
      </c>
      <c r="K191" s="40">
        <v>0</v>
      </c>
      <c r="L191">
        <v>0</v>
      </c>
      <c r="M191">
        <v>0</v>
      </c>
      <c r="N191">
        <v>0</v>
      </c>
      <c r="O191">
        <v>0</v>
      </c>
      <c r="P191">
        <v>100000</v>
      </c>
      <c r="Q191">
        <v>0</v>
      </c>
      <c r="R191">
        <v>0</v>
      </c>
      <c r="S191">
        <v>0</v>
      </c>
      <c r="T191">
        <v>0</v>
      </c>
      <c r="U191">
        <v>0</v>
      </c>
      <c r="V191" s="40">
        <v>0</v>
      </c>
      <c r="W191">
        <v>0</v>
      </c>
      <c r="X191">
        <v>0</v>
      </c>
      <c r="Y191">
        <v>0</v>
      </c>
      <c r="Z191">
        <v>0</v>
      </c>
      <c r="AA191" s="40">
        <v>0</v>
      </c>
      <c r="AB191">
        <v>0</v>
      </c>
      <c r="AC191">
        <v>0</v>
      </c>
      <c r="AE191" s="40">
        <v>0</v>
      </c>
      <c r="AF191">
        <v>0</v>
      </c>
      <c r="AG191">
        <v>0</v>
      </c>
      <c r="AH191">
        <v>0</v>
      </c>
      <c r="AI191">
        <v>0</v>
      </c>
      <c r="AJ191">
        <v>0</v>
      </c>
    </row>
    <row r="192" spans="1:36" x14ac:dyDescent="0.3">
      <c r="A192" s="6" t="s">
        <v>502</v>
      </c>
      <c r="B192">
        <v>0</v>
      </c>
      <c r="C192">
        <v>0</v>
      </c>
      <c r="D192">
        <v>0</v>
      </c>
      <c r="E192">
        <v>0</v>
      </c>
      <c r="F192">
        <v>0</v>
      </c>
      <c r="G192" s="40">
        <v>1.54</v>
      </c>
      <c r="H192" s="6">
        <v>0</v>
      </c>
      <c r="I192">
        <v>0</v>
      </c>
      <c r="J192">
        <v>0</v>
      </c>
      <c r="K192" s="40">
        <v>0</v>
      </c>
      <c r="L192">
        <v>0</v>
      </c>
      <c r="M192">
        <v>0</v>
      </c>
      <c r="N192">
        <v>0</v>
      </c>
      <c r="O192">
        <v>0</v>
      </c>
      <c r="P192">
        <v>100000</v>
      </c>
      <c r="Q192">
        <v>0</v>
      </c>
      <c r="R192">
        <v>0</v>
      </c>
      <c r="S192">
        <v>0</v>
      </c>
      <c r="T192">
        <v>0</v>
      </c>
      <c r="U192">
        <v>0</v>
      </c>
      <c r="V192" s="40">
        <v>0</v>
      </c>
      <c r="W192">
        <v>0</v>
      </c>
      <c r="X192">
        <v>0</v>
      </c>
      <c r="Y192">
        <v>0</v>
      </c>
      <c r="Z192">
        <v>0</v>
      </c>
      <c r="AA192" s="40">
        <v>0</v>
      </c>
      <c r="AB192">
        <v>0</v>
      </c>
      <c r="AC192">
        <v>0</v>
      </c>
      <c r="AE192" s="40">
        <v>0</v>
      </c>
      <c r="AF192">
        <v>0</v>
      </c>
      <c r="AG192">
        <v>0</v>
      </c>
      <c r="AH192">
        <v>0</v>
      </c>
      <c r="AI192">
        <v>0</v>
      </c>
      <c r="AJ192">
        <v>0</v>
      </c>
    </row>
    <row r="193" spans="1:36" x14ac:dyDescent="0.3">
      <c r="A193" s="6" t="s">
        <v>535</v>
      </c>
      <c r="B193">
        <v>0</v>
      </c>
      <c r="C193">
        <v>0</v>
      </c>
      <c r="D193">
        <v>0</v>
      </c>
      <c r="E193">
        <v>0</v>
      </c>
      <c r="F193">
        <v>0</v>
      </c>
      <c r="G193" s="40">
        <v>1.36</v>
      </c>
      <c r="H193" s="6">
        <v>77.5</v>
      </c>
      <c r="I193">
        <v>0</v>
      </c>
      <c r="J193">
        <v>0</v>
      </c>
      <c r="K193" s="40">
        <v>3488</v>
      </c>
      <c r="L193">
        <v>0</v>
      </c>
      <c r="M193">
        <v>3488</v>
      </c>
      <c r="N193">
        <v>0</v>
      </c>
      <c r="O193">
        <v>0</v>
      </c>
      <c r="P193">
        <v>27125</v>
      </c>
      <c r="Q193">
        <v>0</v>
      </c>
      <c r="R193">
        <v>0</v>
      </c>
      <c r="S193">
        <v>0</v>
      </c>
      <c r="T193">
        <v>0</v>
      </c>
      <c r="U193">
        <v>0</v>
      </c>
      <c r="V193" s="40">
        <v>0</v>
      </c>
      <c r="W193">
        <v>0</v>
      </c>
      <c r="X193">
        <v>0</v>
      </c>
      <c r="Y193">
        <v>0</v>
      </c>
      <c r="Z193">
        <v>0</v>
      </c>
      <c r="AA193" s="40">
        <v>0</v>
      </c>
      <c r="AB193">
        <v>0</v>
      </c>
      <c r="AC193">
        <v>0</v>
      </c>
      <c r="AE193" s="40">
        <v>0</v>
      </c>
      <c r="AF193">
        <v>0</v>
      </c>
      <c r="AG193">
        <v>0</v>
      </c>
      <c r="AH193">
        <v>0</v>
      </c>
      <c r="AI193">
        <v>0</v>
      </c>
      <c r="AJ193">
        <v>0</v>
      </c>
    </row>
    <row r="194" spans="1:36" x14ac:dyDescent="0.3">
      <c r="A194" s="6" t="s">
        <v>114</v>
      </c>
      <c r="B194">
        <v>10</v>
      </c>
      <c r="C194">
        <v>24</v>
      </c>
      <c r="G194" s="40">
        <v>0.94499999999999995</v>
      </c>
      <c r="H194" s="6">
        <v>85.2</v>
      </c>
      <c r="I194">
        <v>2</v>
      </c>
      <c r="J194">
        <v>166</v>
      </c>
      <c r="K194" s="40">
        <v>6050</v>
      </c>
      <c r="L194">
        <v>2130</v>
      </c>
      <c r="M194">
        <v>2400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40"/>
      <c r="AA194" s="40">
        <v>0.81</v>
      </c>
      <c r="AE194" s="40"/>
      <c r="AF194">
        <v>26.7</v>
      </c>
    </row>
    <row r="195" spans="1:36" x14ac:dyDescent="0.3">
      <c r="A195" s="6" t="s">
        <v>556</v>
      </c>
      <c r="B195">
        <v>0</v>
      </c>
      <c r="C195">
        <v>0</v>
      </c>
      <c r="D195">
        <v>0</v>
      </c>
      <c r="E195">
        <v>0</v>
      </c>
      <c r="F195">
        <v>0</v>
      </c>
      <c r="G195" s="40">
        <v>1.52</v>
      </c>
      <c r="H195" s="6">
        <v>0.3</v>
      </c>
      <c r="I195">
        <v>0</v>
      </c>
      <c r="J195">
        <v>0</v>
      </c>
      <c r="K195" s="40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40">
        <v>0</v>
      </c>
      <c r="W195">
        <v>0</v>
      </c>
      <c r="X195">
        <v>0</v>
      </c>
      <c r="Y195">
        <v>0</v>
      </c>
      <c r="Z195">
        <v>99700</v>
      </c>
      <c r="AA195" s="40">
        <v>0</v>
      </c>
      <c r="AB195">
        <v>0</v>
      </c>
      <c r="AC195">
        <v>0</v>
      </c>
      <c r="AE195" s="40">
        <v>0</v>
      </c>
      <c r="AF195">
        <v>0</v>
      </c>
      <c r="AG195">
        <v>0</v>
      </c>
      <c r="AH195">
        <v>0</v>
      </c>
      <c r="AI195">
        <v>0</v>
      </c>
      <c r="AJ195">
        <v>0</v>
      </c>
    </row>
    <row r="196" spans="1:36" x14ac:dyDescent="0.3">
      <c r="A196" s="6" t="s">
        <v>542</v>
      </c>
      <c r="B196">
        <v>0</v>
      </c>
      <c r="C196">
        <v>0</v>
      </c>
      <c r="D196">
        <v>0</v>
      </c>
      <c r="E196">
        <v>0</v>
      </c>
      <c r="F196">
        <v>0</v>
      </c>
      <c r="G196" s="40">
        <v>1.37</v>
      </c>
      <c r="H196" s="6">
        <v>31.7</v>
      </c>
      <c r="I196">
        <v>0</v>
      </c>
      <c r="J196">
        <v>148</v>
      </c>
      <c r="K196" s="40">
        <v>68000</v>
      </c>
      <c r="L196">
        <v>430</v>
      </c>
      <c r="M196">
        <v>300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40">
        <v>0</v>
      </c>
      <c r="W196">
        <v>0</v>
      </c>
      <c r="X196">
        <v>0</v>
      </c>
      <c r="Y196">
        <v>0</v>
      </c>
      <c r="Z196">
        <v>0</v>
      </c>
      <c r="AA196" s="40">
        <v>0</v>
      </c>
      <c r="AB196">
        <v>0</v>
      </c>
      <c r="AC196">
        <v>0</v>
      </c>
      <c r="AE196" s="40">
        <v>0</v>
      </c>
      <c r="AF196">
        <v>0</v>
      </c>
      <c r="AG196">
        <v>0</v>
      </c>
      <c r="AH196">
        <v>0</v>
      </c>
      <c r="AI196">
        <v>470</v>
      </c>
      <c r="AJ196">
        <v>0</v>
      </c>
    </row>
    <row r="197" spans="1:36" x14ac:dyDescent="0.3">
      <c r="A197" s="6" t="s">
        <v>257</v>
      </c>
      <c r="B197">
        <v>15.1</v>
      </c>
      <c r="G197" s="40">
        <v>1.0349999999999999</v>
      </c>
      <c r="H197" s="6">
        <v>88.1</v>
      </c>
      <c r="I197">
        <v>38</v>
      </c>
      <c r="J197">
        <v>150</v>
      </c>
      <c r="K197" s="40">
        <v>0</v>
      </c>
      <c r="L197">
        <v>0</v>
      </c>
      <c r="M197">
        <v>0</v>
      </c>
      <c r="N197">
        <v>4810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40"/>
      <c r="AA197" s="40">
        <v>3.28</v>
      </c>
      <c r="AB197">
        <v>0.33800000000000002</v>
      </c>
      <c r="AE197" s="40"/>
      <c r="AF197">
        <v>0</v>
      </c>
    </row>
    <row r="198" spans="1:36" x14ac:dyDescent="0.3">
      <c r="A198" s="6" t="s">
        <v>115</v>
      </c>
      <c r="B198">
        <v>19</v>
      </c>
      <c r="C198">
        <v>13</v>
      </c>
      <c r="G198" s="40">
        <v>3.1E-2</v>
      </c>
      <c r="H198" s="6">
        <v>78.599999999999994</v>
      </c>
      <c r="I198">
        <v>31</v>
      </c>
      <c r="J198">
        <v>569</v>
      </c>
      <c r="K198" s="40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40"/>
      <c r="AA198" s="40">
        <v>3.75</v>
      </c>
      <c r="AE198" s="40"/>
      <c r="AF198">
        <v>31.8</v>
      </c>
    </row>
    <row r="199" spans="1:36" x14ac:dyDescent="0.3">
      <c r="A199" s="6" t="s">
        <v>116</v>
      </c>
      <c r="B199">
        <v>33</v>
      </c>
      <c r="C199">
        <v>32</v>
      </c>
      <c r="G199" s="40">
        <v>1.1839999999999999</v>
      </c>
      <c r="H199" s="6">
        <v>47</v>
      </c>
      <c r="I199">
        <v>867</v>
      </c>
      <c r="J199">
        <v>0</v>
      </c>
      <c r="K199" s="40">
        <v>0</v>
      </c>
      <c r="L199">
        <v>21960</v>
      </c>
      <c r="M199">
        <v>0</v>
      </c>
      <c r="N199">
        <v>0</v>
      </c>
      <c r="O199">
        <v>0</v>
      </c>
      <c r="P199">
        <v>6745</v>
      </c>
      <c r="Q199">
        <v>0</v>
      </c>
      <c r="R199">
        <v>0</v>
      </c>
      <c r="S199">
        <v>0</v>
      </c>
      <c r="T199">
        <v>0</v>
      </c>
      <c r="U199">
        <v>0</v>
      </c>
      <c r="V199" s="40"/>
      <c r="AA199" s="40"/>
      <c r="AE199" s="40"/>
    </row>
    <row r="200" spans="1:36" x14ac:dyDescent="0.3">
      <c r="A200" s="6" t="s">
        <v>117</v>
      </c>
      <c r="B200">
        <v>450</v>
      </c>
      <c r="C200">
        <v>250</v>
      </c>
      <c r="G200" s="40">
        <v>1.1599999999999999</v>
      </c>
      <c r="H200" s="6">
        <v>41.5</v>
      </c>
      <c r="I200">
        <v>3730</v>
      </c>
      <c r="J200">
        <v>210</v>
      </c>
      <c r="K200" s="40">
        <v>0</v>
      </c>
      <c r="L200">
        <v>0</v>
      </c>
      <c r="M200">
        <v>6000</v>
      </c>
      <c r="N200">
        <v>0</v>
      </c>
      <c r="O200">
        <v>0</v>
      </c>
      <c r="P200">
        <v>200</v>
      </c>
      <c r="Q200">
        <v>0</v>
      </c>
      <c r="R200">
        <v>0</v>
      </c>
      <c r="S200">
        <v>0</v>
      </c>
      <c r="T200">
        <v>0</v>
      </c>
      <c r="U200">
        <v>0</v>
      </c>
      <c r="V200" s="40"/>
      <c r="AA200" s="40">
        <v>12.8</v>
      </c>
      <c r="AE200" s="40"/>
      <c r="AF200">
        <v>0</v>
      </c>
    </row>
    <row r="201" spans="1:36" x14ac:dyDescent="0.3">
      <c r="A201" s="6" t="s">
        <v>118</v>
      </c>
      <c r="B201">
        <v>386</v>
      </c>
      <c r="C201">
        <v>312</v>
      </c>
      <c r="G201" s="40">
        <v>1.08</v>
      </c>
      <c r="H201" s="6">
        <v>30</v>
      </c>
      <c r="I201">
        <v>6800</v>
      </c>
      <c r="J201">
        <v>1005</v>
      </c>
      <c r="K201" s="40"/>
      <c r="V201" s="40"/>
      <c r="AA201" s="40">
        <v>26.7</v>
      </c>
      <c r="AE201" s="40"/>
    </row>
    <row r="202" spans="1:36" x14ac:dyDescent="0.3">
      <c r="A202" s="6" t="s">
        <v>503</v>
      </c>
      <c r="G202" s="40">
        <v>1.42</v>
      </c>
      <c r="H202" s="6">
        <v>23.2</v>
      </c>
      <c r="I202">
        <v>80</v>
      </c>
      <c r="J202">
        <v>1820</v>
      </c>
      <c r="K202" s="40">
        <v>48800</v>
      </c>
      <c r="L202">
        <v>5260</v>
      </c>
      <c r="M202">
        <v>8070</v>
      </c>
      <c r="N202">
        <v>0</v>
      </c>
      <c r="O202">
        <v>0</v>
      </c>
      <c r="P202">
        <v>0</v>
      </c>
      <c r="Q202">
        <v>0</v>
      </c>
      <c r="V202" s="40"/>
      <c r="AA202" s="40">
        <v>6.65</v>
      </c>
      <c r="AE202" s="40">
        <v>440</v>
      </c>
      <c r="AG202">
        <v>130</v>
      </c>
      <c r="AH202">
        <v>6100</v>
      </c>
      <c r="AI202">
        <v>100</v>
      </c>
    </row>
    <row r="203" spans="1:36" x14ac:dyDescent="0.3">
      <c r="A203" s="6" t="s">
        <v>119</v>
      </c>
      <c r="B203">
        <v>87000</v>
      </c>
      <c r="G203" s="40">
        <v>0.66600000000000004</v>
      </c>
      <c r="H203" s="6">
        <v>0</v>
      </c>
      <c r="I203">
        <v>13594</v>
      </c>
      <c r="J203">
        <v>0</v>
      </c>
      <c r="K203" s="40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40">
        <v>0</v>
      </c>
      <c r="W203">
        <v>0</v>
      </c>
      <c r="X203">
        <v>0</v>
      </c>
      <c r="Y203">
        <v>0</v>
      </c>
      <c r="Z203">
        <v>0</v>
      </c>
      <c r="AA203" s="40">
        <v>0</v>
      </c>
      <c r="AB203">
        <v>0</v>
      </c>
      <c r="AC203">
        <v>0</v>
      </c>
      <c r="AE203" s="40">
        <v>0</v>
      </c>
      <c r="AF203">
        <v>0</v>
      </c>
      <c r="AG203">
        <v>0</v>
      </c>
      <c r="AH203">
        <v>0</v>
      </c>
      <c r="AI203">
        <v>0</v>
      </c>
      <c r="AJ203">
        <v>0</v>
      </c>
    </row>
    <row r="204" spans="1:36" x14ac:dyDescent="0.3">
      <c r="A204" s="6" t="s">
        <v>120</v>
      </c>
      <c r="B204">
        <v>27</v>
      </c>
      <c r="C204">
        <v>19</v>
      </c>
      <c r="G204" s="40">
        <v>0.34</v>
      </c>
      <c r="H204" s="6">
        <v>92</v>
      </c>
      <c r="I204">
        <v>62</v>
      </c>
      <c r="J204">
        <v>3020</v>
      </c>
      <c r="K204" s="40"/>
      <c r="V204" s="40"/>
      <c r="AA204" s="40"/>
      <c r="AE204" s="40"/>
    </row>
    <row r="205" spans="1:36" x14ac:dyDescent="0.3">
      <c r="A205" s="6" t="s">
        <v>541</v>
      </c>
      <c r="B205">
        <v>0</v>
      </c>
      <c r="C205">
        <v>0</v>
      </c>
      <c r="D205">
        <v>0</v>
      </c>
      <c r="E205">
        <v>0</v>
      </c>
      <c r="F205">
        <v>0</v>
      </c>
      <c r="G205" s="40">
        <v>0.93</v>
      </c>
      <c r="H205" s="6">
        <v>4</v>
      </c>
      <c r="I205">
        <v>0</v>
      </c>
      <c r="J205">
        <v>0</v>
      </c>
      <c r="K205" s="40">
        <v>90000</v>
      </c>
      <c r="L205">
        <v>2000</v>
      </c>
      <c r="M205">
        <v>2000</v>
      </c>
      <c r="N205">
        <v>0</v>
      </c>
      <c r="O205">
        <v>0</v>
      </c>
      <c r="P205">
        <v>0</v>
      </c>
      <c r="Q205">
        <v>0</v>
      </c>
      <c r="V205" s="40">
        <v>0</v>
      </c>
      <c r="W205">
        <v>0</v>
      </c>
      <c r="X205">
        <v>0</v>
      </c>
      <c r="Y205">
        <v>0</v>
      </c>
      <c r="Z205">
        <v>0</v>
      </c>
      <c r="AA205" s="40">
        <v>0</v>
      </c>
      <c r="AB205">
        <v>0</v>
      </c>
      <c r="AC205">
        <v>0</v>
      </c>
      <c r="AE205" s="40">
        <v>0</v>
      </c>
      <c r="AF205">
        <v>0</v>
      </c>
      <c r="AG205">
        <v>0</v>
      </c>
      <c r="AH205">
        <v>0</v>
      </c>
      <c r="AI205">
        <v>0</v>
      </c>
      <c r="AJ205">
        <v>0</v>
      </c>
    </row>
    <row r="206" spans="1:36" x14ac:dyDescent="0.3">
      <c r="A206" s="6" t="s">
        <v>259</v>
      </c>
      <c r="B206">
        <v>34</v>
      </c>
      <c r="G206" s="40">
        <v>0.66</v>
      </c>
      <c r="H206" s="6">
        <v>91.1</v>
      </c>
      <c r="I206">
        <v>425</v>
      </c>
      <c r="J206">
        <v>129</v>
      </c>
      <c r="K206" s="40"/>
      <c r="V206" s="40"/>
      <c r="AA206" s="40">
        <v>1.87</v>
      </c>
      <c r="AE206" s="40"/>
      <c r="AF206">
        <v>0</v>
      </c>
    </row>
    <row r="207" spans="1:36" x14ac:dyDescent="0.3">
      <c r="A207" s="6" t="s">
        <v>121</v>
      </c>
      <c r="B207">
        <v>75</v>
      </c>
      <c r="G207" s="40">
        <v>0.3</v>
      </c>
      <c r="H207" s="6">
        <v>93.9</v>
      </c>
      <c r="I207">
        <v>6</v>
      </c>
      <c r="J207">
        <v>373</v>
      </c>
      <c r="K207" s="40">
        <v>0</v>
      </c>
      <c r="L207">
        <v>1480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40"/>
      <c r="AA207" s="40">
        <v>2.89</v>
      </c>
      <c r="AB207">
        <v>4.3</v>
      </c>
      <c r="AE207" s="40"/>
      <c r="AF207">
        <v>2.1</v>
      </c>
    </row>
    <row r="208" spans="1:36" x14ac:dyDescent="0.3">
      <c r="A208" s="6" t="s">
        <v>122</v>
      </c>
      <c r="B208">
        <v>42</v>
      </c>
      <c r="C208">
        <v>11</v>
      </c>
      <c r="G208" s="40">
        <v>0.3</v>
      </c>
      <c r="H208" s="6">
        <v>92.45</v>
      </c>
      <c r="I208">
        <v>5</v>
      </c>
      <c r="J208">
        <v>318</v>
      </c>
      <c r="K208" s="40">
        <v>0</v>
      </c>
      <c r="L208">
        <v>1980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40"/>
      <c r="AA208" s="40">
        <v>3.09</v>
      </c>
      <c r="AB208">
        <v>4.3</v>
      </c>
      <c r="AE208" s="40"/>
      <c r="AF208">
        <v>2.1</v>
      </c>
    </row>
    <row r="209" spans="1:32" x14ac:dyDescent="0.3">
      <c r="A209" s="6" t="s">
        <v>123</v>
      </c>
      <c r="B209">
        <v>86</v>
      </c>
      <c r="C209">
        <v>7</v>
      </c>
      <c r="F209">
        <v>50</v>
      </c>
      <c r="G209" s="40">
        <v>0.5</v>
      </c>
      <c r="H209" s="6">
        <v>88.3</v>
      </c>
      <c r="I209">
        <v>3</v>
      </c>
      <c r="J209">
        <v>359</v>
      </c>
      <c r="K209" s="40">
        <v>0</v>
      </c>
      <c r="L209">
        <v>220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40"/>
      <c r="AA209" s="40">
        <v>2.66</v>
      </c>
      <c r="AE209" s="40"/>
      <c r="AF209">
        <v>0</v>
      </c>
    </row>
    <row r="210" spans="1:32" x14ac:dyDescent="0.3">
      <c r="A210" s="6" t="s">
        <v>124</v>
      </c>
      <c r="B210">
        <v>140</v>
      </c>
      <c r="F210">
        <v>10</v>
      </c>
      <c r="G210" s="40">
        <v>0.5</v>
      </c>
      <c r="H210" s="6">
        <v>88.1</v>
      </c>
      <c r="I210">
        <v>1</v>
      </c>
      <c r="J210">
        <v>294</v>
      </c>
      <c r="K210" s="4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s="40"/>
      <c r="AA210" s="40">
        <v>2.41</v>
      </c>
      <c r="AB210">
        <v>15.7</v>
      </c>
      <c r="AE210" s="40"/>
    </row>
    <row r="211" spans="1:32" x14ac:dyDescent="0.3">
      <c r="A211" s="6" t="s">
        <v>125</v>
      </c>
      <c r="B211">
        <v>314</v>
      </c>
      <c r="C211">
        <v>85</v>
      </c>
      <c r="F211">
        <v>10</v>
      </c>
      <c r="G211" s="40">
        <v>0.15</v>
      </c>
      <c r="H211" s="6">
        <v>10.99</v>
      </c>
      <c r="I211">
        <v>0</v>
      </c>
      <c r="K211" s="40"/>
      <c r="V211" s="40"/>
      <c r="AA211" s="40"/>
      <c r="AE211" s="40"/>
    </row>
    <row r="212" spans="1:32" x14ac:dyDescent="0.3">
      <c r="A212" s="6" t="s">
        <v>126</v>
      </c>
      <c r="B212">
        <v>77</v>
      </c>
      <c r="C212">
        <v>106</v>
      </c>
      <c r="F212">
        <v>10</v>
      </c>
      <c r="G212" s="40">
        <v>0.15</v>
      </c>
      <c r="H212" s="6">
        <v>6.5</v>
      </c>
      <c r="K212" s="40"/>
      <c r="V212" s="40"/>
      <c r="AA212" s="40"/>
      <c r="AE212" s="40"/>
    </row>
    <row r="213" spans="1:32" x14ac:dyDescent="0.3">
      <c r="A213" s="6" t="s">
        <v>127</v>
      </c>
      <c r="B213">
        <v>311</v>
      </c>
      <c r="C213">
        <v>28</v>
      </c>
      <c r="F213">
        <v>40</v>
      </c>
      <c r="G213" s="40">
        <v>0.15</v>
      </c>
      <c r="H213" s="6">
        <v>13</v>
      </c>
      <c r="K213" s="40"/>
      <c r="V213" s="40"/>
      <c r="AA213" s="40"/>
      <c r="AE213" s="40"/>
    </row>
    <row r="214" spans="1:32" x14ac:dyDescent="0.3">
      <c r="A214" s="6" t="s">
        <v>128</v>
      </c>
      <c r="B214">
        <v>1060</v>
      </c>
      <c r="C214">
        <v>70</v>
      </c>
      <c r="F214">
        <v>150</v>
      </c>
      <c r="G214" s="40">
        <v>0.15</v>
      </c>
      <c r="H214" s="6">
        <v>9.5</v>
      </c>
      <c r="I214">
        <v>13</v>
      </c>
      <c r="J214">
        <v>1530</v>
      </c>
      <c r="K214" s="40">
        <v>0</v>
      </c>
      <c r="L214">
        <v>2778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s="40"/>
      <c r="AA214" s="40">
        <v>9.58</v>
      </c>
      <c r="AB214">
        <v>0.35</v>
      </c>
      <c r="AE214" s="40"/>
      <c r="AF214">
        <v>3.5</v>
      </c>
    </row>
    <row r="215" spans="1:32" x14ac:dyDescent="0.3">
      <c r="A215" s="6" t="s">
        <v>129</v>
      </c>
      <c r="B215">
        <v>70</v>
      </c>
      <c r="C215">
        <v>8</v>
      </c>
      <c r="G215" s="40">
        <v>0.3</v>
      </c>
      <c r="H215" s="6">
        <v>89.7</v>
      </c>
      <c r="I215">
        <v>9</v>
      </c>
      <c r="J215">
        <v>304</v>
      </c>
      <c r="K215" s="40">
        <v>0</v>
      </c>
      <c r="L215">
        <v>2380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40"/>
      <c r="AA215" s="40">
        <v>2.2400000000000002</v>
      </c>
      <c r="AB215">
        <v>0.69</v>
      </c>
      <c r="AE215" s="40"/>
    </row>
    <row r="216" spans="1:32" x14ac:dyDescent="0.3">
      <c r="A216" s="6" t="s">
        <v>130</v>
      </c>
      <c r="B216">
        <v>140</v>
      </c>
      <c r="C216">
        <v>90</v>
      </c>
      <c r="G216" s="40">
        <v>0.3</v>
      </c>
      <c r="H216" s="6">
        <v>89.8</v>
      </c>
      <c r="I216">
        <v>1</v>
      </c>
      <c r="J216">
        <v>376</v>
      </c>
      <c r="K216" s="40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s="40"/>
      <c r="AA216" s="40">
        <v>2.1800000000000002</v>
      </c>
      <c r="AB216">
        <v>9.8000000000000007</v>
      </c>
      <c r="AE216" s="40"/>
    </row>
    <row r="217" spans="1:32" x14ac:dyDescent="0.3">
      <c r="A217" s="6" t="s">
        <v>131</v>
      </c>
      <c r="B217">
        <v>110</v>
      </c>
      <c r="G217" s="40">
        <v>0.48</v>
      </c>
      <c r="H217" s="6">
        <v>80.599999999999994</v>
      </c>
      <c r="I217">
        <v>286</v>
      </c>
      <c r="J217">
        <v>320</v>
      </c>
      <c r="K217" s="40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40">
        <v>0</v>
      </c>
      <c r="W217">
        <v>0</v>
      </c>
      <c r="X217">
        <v>0</v>
      </c>
      <c r="Y217">
        <v>0</v>
      </c>
      <c r="Z217">
        <v>0</v>
      </c>
      <c r="AA217" s="40">
        <v>11.9</v>
      </c>
      <c r="AE217" s="40"/>
      <c r="AF217">
        <v>8</v>
      </c>
    </row>
    <row r="218" spans="1:32" x14ac:dyDescent="0.3">
      <c r="A218" s="6" t="s">
        <v>132</v>
      </c>
      <c r="B218">
        <v>4</v>
      </c>
      <c r="C218">
        <v>4</v>
      </c>
      <c r="G218" s="40">
        <v>0.36</v>
      </c>
      <c r="H218" s="6">
        <v>90.7</v>
      </c>
      <c r="I218">
        <v>20</v>
      </c>
      <c r="J218">
        <v>384</v>
      </c>
      <c r="K218" s="40"/>
      <c r="V218" s="40"/>
      <c r="AA218" s="40">
        <v>2.86</v>
      </c>
      <c r="AB218">
        <v>2.2999999999999998</v>
      </c>
      <c r="AE218" s="40"/>
      <c r="AF218">
        <v>70</v>
      </c>
    </row>
    <row r="219" spans="1:32" x14ac:dyDescent="0.3">
      <c r="A219" s="6" t="s">
        <v>133</v>
      </c>
      <c r="B219">
        <v>140</v>
      </c>
      <c r="G219" s="40">
        <v>0.74</v>
      </c>
      <c r="H219" s="6">
        <v>55</v>
      </c>
      <c r="I219">
        <v>7</v>
      </c>
      <c r="J219">
        <v>729</v>
      </c>
      <c r="K219" s="40"/>
      <c r="V219" s="40"/>
      <c r="AA219" s="40">
        <v>19.399999999999999</v>
      </c>
      <c r="AE219" s="40"/>
      <c r="AF219">
        <v>13</v>
      </c>
    </row>
    <row r="220" spans="1:32" x14ac:dyDescent="0.3">
      <c r="A220" s="6" t="s">
        <v>303</v>
      </c>
      <c r="B220">
        <v>9.6</v>
      </c>
      <c r="C220">
        <v>200</v>
      </c>
      <c r="G220" s="40">
        <v>1.0169999999999999</v>
      </c>
      <c r="H220" s="6">
        <v>89</v>
      </c>
      <c r="I220">
        <v>13</v>
      </c>
      <c r="J220">
        <v>131</v>
      </c>
      <c r="K220" s="40"/>
      <c r="V220" s="40"/>
      <c r="AA220" s="40">
        <v>1.06</v>
      </c>
      <c r="AB220">
        <v>7.4</v>
      </c>
      <c r="AE220" s="40"/>
      <c r="AF220">
        <v>2.9</v>
      </c>
    </row>
    <row r="221" spans="1:32" x14ac:dyDescent="0.3">
      <c r="A221" s="6" t="s">
        <v>134</v>
      </c>
      <c r="B221">
        <v>2830</v>
      </c>
      <c r="C221">
        <v>560</v>
      </c>
      <c r="F221">
        <v>30</v>
      </c>
      <c r="G221" s="40">
        <v>0.19</v>
      </c>
      <c r="H221" s="6">
        <v>8</v>
      </c>
      <c r="I221">
        <v>200</v>
      </c>
      <c r="J221">
        <v>2140</v>
      </c>
      <c r="K221" s="40"/>
      <c r="V221" s="40"/>
      <c r="AA221" s="40">
        <v>53</v>
      </c>
      <c r="AB221">
        <v>250</v>
      </c>
      <c r="AE221" s="40"/>
    </row>
    <row r="222" spans="1:32" x14ac:dyDescent="0.3">
      <c r="A222" s="6" t="s">
        <v>135</v>
      </c>
      <c r="B222">
        <v>25</v>
      </c>
      <c r="C222">
        <v>11</v>
      </c>
      <c r="G222" s="40">
        <v>0.7</v>
      </c>
      <c r="H222" s="6">
        <v>86.3</v>
      </c>
      <c r="I222">
        <v>230</v>
      </c>
      <c r="J222">
        <v>350</v>
      </c>
      <c r="K222" s="40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s="40"/>
      <c r="AA222" s="40">
        <v>15</v>
      </c>
      <c r="AE222" s="40"/>
    </row>
    <row r="223" spans="1:32" x14ac:dyDescent="0.3">
      <c r="A223" s="6" t="s">
        <v>136</v>
      </c>
      <c r="B223">
        <v>1</v>
      </c>
      <c r="C223">
        <v>9</v>
      </c>
      <c r="G223" s="40">
        <v>0.39800000000000002</v>
      </c>
      <c r="H223" s="6">
        <v>89.6</v>
      </c>
      <c r="I223">
        <v>7</v>
      </c>
      <c r="J223">
        <v>299</v>
      </c>
      <c r="K223" s="40">
        <v>600</v>
      </c>
      <c r="L223">
        <v>320</v>
      </c>
      <c r="M223">
        <v>570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s="40"/>
      <c r="AA223" s="40">
        <v>1.93</v>
      </c>
      <c r="AB223">
        <v>12</v>
      </c>
      <c r="AE223" s="40"/>
      <c r="AF223">
        <v>23</v>
      </c>
    </row>
    <row r="224" spans="1:32" x14ac:dyDescent="0.3">
      <c r="A224" s="6" t="s">
        <v>137</v>
      </c>
      <c r="B224">
        <v>0</v>
      </c>
      <c r="G224" s="40">
        <v>1.06</v>
      </c>
      <c r="H224" s="6">
        <v>79.989999999999995</v>
      </c>
      <c r="I224">
        <v>735</v>
      </c>
      <c r="J224">
        <v>8</v>
      </c>
      <c r="K224" s="40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 s="40"/>
      <c r="AA224" s="40">
        <v>0.84</v>
      </c>
      <c r="AE224" s="40"/>
      <c r="AF224">
        <v>0.9</v>
      </c>
    </row>
    <row r="225" spans="1:36" x14ac:dyDescent="0.3">
      <c r="A225" s="6" t="s">
        <v>138</v>
      </c>
      <c r="B225">
        <v>4</v>
      </c>
      <c r="C225">
        <v>3</v>
      </c>
      <c r="G225" s="40">
        <v>0.51</v>
      </c>
      <c r="H225" s="6">
        <v>75.28</v>
      </c>
      <c r="I225">
        <v>1556</v>
      </c>
      <c r="J225">
        <v>42</v>
      </c>
      <c r="K225" s="40">
        <v>0</v>
      </c>
      <c r="L225">
        <v>8.89</v>
      </c>
      <c r="M225">
        <v>17.87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40"/>
      <c r="Z225">
        <v>13.12</v>
      </c>
      <c r="AA225" s="40">
        <v>1.03</v>
      </c>
      <c r="AE225" s="40"/>
      <c r="AF225">
        <v>0</v>
      </c>
    </row>
    <row r="226" spans="1:36" x14ac:dyDescent="0.3">
      <c r="A226" s="6" t="s">
        <v>139</v>
      </c>
      <c r="B226">
        <v>35</v>
      </c>
      <c r="C226">
        <v>0</v>
      </c>
      <c r="G226" s="40">
        <v>0.40300000000000002</v>
      </c>
      <c r="H226" s="6">
        <v>89.1</v>
      </c>
      <c r="I226">
        <v>4</v>
      </c>
      <c r="J226">
        <v>146</v>
      </c>
      <c r="K226" s="40">
        <v>990</v>
      </c>
      <c r="L226">
        <v>1970</v>
      </c>
      <c r="M226">
        <v>1290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 s="40"/>
      <c r="AA226" s="40">
        <v>1.1000000000000001</v>
      </c>
      <c r="AB226">
        <v>0.89</v>
      </c>
      <c r="AC226">
        <v>250</v>
      </c>
      <c r="AE226" s="40"/>
      <c r="AF226">
        <v>7.4</v>
      </c>
    </row>
    <row r="227" spans="1:36" x14ac:dyDescent="0.3">
      <c r="A227" s="6" t="s">
        <v>140</v>
      </c>
      <c r="B227">
        <v>48</v>
      </c>
      <c r="C227">
        <v>32</v>
      </c>
      <c r="G227" s="40">
        <v>0.501</v>
      </c>
      <c r="H227" s="6">
        <v>90.5</v>
      </c>
      <c r="I227">
        <v>17</v>
      </c>
      <c r="J227">
        <v>212</v>
      </c>
      <c r="K227" s="40">
        <v>508</v>
      </c>
      <c r="L227">
        <v>1010</v>
      </c>
      <c r="M227">
        <v>662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s="40"/>
      <c r="AA227" s="40">
        <v>1.9</v>
      </c>
      <c r="AB227">
        <v>0.56000000000000005</v>
      </c>
      <c r="AC227">
        <v>92</v>
      </c>
      <c r="AE227" s="40"/>
      <c r="AF227">
        <v>27</v>
      </c>
    </row>
    <row r="228" spans="1:36" x14ac:dyDescent="0.3">
      <c r="A228" s="6" t="s">
        <v>222</v>
      </c>
      <c r="B228">
        <v>0</v>
      </c>
      <c r="C228">
        <v>0</v>
      </c>
      <c r="D228">
        <v>0</v>
      </c>
      <c r="E228">
        <v>0</v>
      </c>
      <c r="F228">
        <v>0</v>
      </c>
      <c r="G228" s="40">
        <v>0.85</v>
      </c>
      <c r="H228" s="6">
        <v>75</v>
      </c>
      <c r="I228">
        <v>0</v>
      </c>
      <c r="J228">
        <v>0</v>
      </c>
      <c r="K228" s="40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40">
        <v>0</v>
      </c>
      <c r="W228">
        <v>0</v>
      </c>
      <c r="X228">
        <v>0</v>
      </c>
      <c r="Y228">
        <v>0</v>
      </c>
      <c r="Z228">
        <v>0</v>
      </c>
      <c r="AA228" s="40">
        <v>0</v>
      </c>
      <c r="AB228">
        <v>0</v>
      </c>
      <c r="AC228">
        <v>0</v>
      </c>
      <c r="AE228" s="40">
        <v>0</v>
      </c>
      <c r="AF228">
        <v>0</v>
      </c>
      <c r="AG228">
        <v>0</v>
      </c>
      <c r="AH228">
        <v>0</v>
      </c>
      <c r="AI228">
        <v>0</v>
      </c>
      <c r="AJ228">
        <v>0</v>
      </c>
    </row>
    <row r="229" spans="1:36" x14ac:dyDescent="0.3">
      <c r="A229" s="6" t="s">
        <v>297</v>
      </c>
      <c r="B229">
        <v>95</v>
      </c>
      <c r="E229">
        <v>20</v>
      </c>
      <c r="G229" s="40">
        <v>1.07</v>
      </c>
      <c r="H229" s="6">
        <v>89.04</v>
      </c>
      <c r="I229">
        <v>85</v>
      </c>
      <c r="J229">
        <v>156</v>
      </c>
      <c r="K229" s="40">
        <v>0</v>
      </c>
      <c r="L229">
        <v>620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s="40">
        <v>0</v>
      </c>
      <c r="W229">
        <v>0</v>
      </c>
      <c r="X229">
        <v>0</v>
      </c>
      <c r="Y229">
        <v>0</v>
      </c>
      <c r="Z229">
        <v>0</v>
      </c>
      <c r="AA229" s="40">
        <v>5.71</v>
      </c>
      <c r="AE229" s="40"/>
      <c r="AF229">
        <v>0</v>
      </c>
    </row>
    <row r="230" spans="1:36" x14ac:dyDescent="0.3">
      <c r="A230" s="6" t="s">
        <v>298</v>
      </c>
      <c r="B230">
        <v>256.60000000000002</v>
      </c>
      <c r="C230">
        <v>206.1</v>
      </c>
      <c r="D230">
        <v>94</v>
      </c>
      <c r="E230">
        <v>30.4</v>
      </c>
      <c r="F230">
        <v>17.600000000000001</v>
      </c>
      <c r="G230" s="40">
        <v>1.07</v>
      </c>
      <c r="H230" s="6">
        <v>89</v>
      </c>
      <c r="I230">
        <v>85</v>
      </c>
      <c r="J230">
        <v>156</v>
      </c>
      <c r="K230" s="40">
        <v>0</v>
      </c>
      <c r="L230">
        <v>620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s="40">
        <v>0</v>
      </c>
      <c r="W230">
        <v>0</v>
      </c>
      <c r="X230">
        <v>0</v>
      </c>
      <c r="Y230">
        <v>0</v>
      </c>
      <c r="Z230">
        <v>0</v>
      </c>
      <c r="AA230" s="40">
        <v>5.71</v>
      </c>
      <c r="AE230" s="40"/>
      <c r="AF230">
        <v>0</v>
      </c>
    </row>
    <row r="231" spans="1:36" x14ac:dyDescent="0.3">
      <c r="A231" s="6" t="s">
        <v>299</v>
      </c>
      <c r="B231">
        <v>160.1</v>
      </c>
      <c r="C231">
        <v>55.3</v>
      </c>
      <c r="D231">
        <v>42.4</v>
      </c>
      <c r="E231">
        <v>15.4</v>
      </c>
      <c r="F231">
        <v>9.1999999999999993</v>
      </c>
      <c r="G231" s="40">
        <v>1.07</v>
      </c>
      <c r="H231" s="6">
        <v>82.1</v>
      </c>
      <c r="I231">
        <v>106</v>
      </c>
      <c r="J231">
        <v>168</v>
      </c>
      <c r="K231" s="40">
        <v>0</v>
      </c>
      <c r="L231">
        <v>620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40">
        <v>0</v>
      </c>
      <c r="W231">
        <v>0</v>
      </c>
      <c r="X231">
        <v>0</v>
      </c>
      <c r="Y231">
        <v>0</v>
      </c>
      <c r="Z231">
        <v>0</v>
      </c>
      <c r="AA231" s="40">
        <v>9.49</v>
      </c>
      <c r="AD231">
        <v>2.7E-2</v>
      </c>
      <c r="AE231" s="40"/>
      <c r="AF231">
        <v>8</v>
      </c>
    </row>
    <row r="232" spans="1:36" x14ac:dyDescent="0.3">
      <c r="A232" s="6" t="s">
        <v>534</v>
      </c>
      <c r="B232">
        <v>0</v>
      </c>
      <c r="C232">
        <v>0</v>
      </c>
      <c r="D232">
        <v>0</v>
      </c>
      <c r="E232">
        <v>0</v>
      </c>
      <c r="F232">
        <v>0</v>
      </c>
      <c r="G232" s="40">
        <v>1.284</v>
      </c>
      <c r="H232" s="6">
        <v>4.0149999999999997</v>
      </c>
      <c r="I232">
        <v>0</v>
      </c>
      <c r="J232">
        <v>0</v>
      </c>
      <c r="K232" s="40">
        <v>72000</v>
      </c>
      <c r="L232">
        <v>4320</v>
      </c>
      <c r="M232">
        <v>4320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s="40">
        <v>0</v>
      </c>
      <c r="W232">
        <v>0</v>
      </c>
      <c r="X232">
        <v>0</v>
      </c>
      <c r="Y232">
        <v>0</v>
      </c>
      <c r="Z232">
        <v>0</v>
      </c>
      <c r="AA232" s="40">
        <v>0</v>
      </c>
      <c r="AB232">
        <v>0</v>
      </c>
      <c r="AC232">
        <v>0</v>
      </c>
      <c r="AE232" s="40">
        <v>0</v>
      </c>
      <c r="AF232">
        <v>0</v>
      </c>
      <c r="AG232">
        <v>0</v>
      </c>
      <c r="AH232">
        <v>0</v>
      </c>
      <c r="AI232">
        <v>0</v>
      </c>
      <c r="AJ232">
        <v>0</v>
      </c>
    </row>
    <row r="233" spans="1:36" x14ac:dyDescent="0.3">
      <c r="A233" s="6" t="s">
        <v>533</v>
      </c>
      <c r="B233">
        <v>0</v>
      </c>
      <c r="C233">
        <v>0</v>
      </c>
      <c r="D233">
        <v>0</v>
      </c>
      <c r="E233">
        <v>0</v>
      </c>
      <c r="F233">
        <v>0</v>
      </c>
      <c r="G233" s="40">
        <v>1.284</v>
      </c>
      <c r="H233" s="6">
        <v>4.0149999999999997</v>
      </c>
      <c r="I233">
        <v>0</v>
      </c>
      <c r="J233">
        <v>0</v>
      </c>
      <c r="K233" s="40">
        <v>72000</v>
      </c>
      <c r="L233">
        <v>4320</v>
      </c>
      <c r="M233">
        <v>4320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 s="40">
        <v>0</v>
      </c>
      <c r="W233">
        <v>0</v>
      </c>
      <c r="X233">
        <v>0</v>
      </c>
      <c r="Y233">
        <v>0</v>
      </c>
      <c r="Z233">
        <v>0</v>
      </c>
      <c r="AA233" s="40">
        <v>0</v>
      </c>
      <c r="AB233">
        <v>0</v>
      </c>
      <c r="AC233">
        <v>0</v>
      </c>
      <c r="AE233" s="40">
        <v>0</v>
      </c>
      <c r="AF233">
        <v>0</v>
      </c>
      <c r="AG233">
        <v>0</v>
      </c>
      <c r="AH233">
        <v>0</v>
      </c>
      <c r="AI233">
        <v>0</v>
      </c>
      <c r="AJ233">
        <v>0</v>
      </c>
    </row>
    <row r="234" spans="1:36" x14ac:dyDescent="0.3">
      <c r="A234" s="6" t="s">
        <v>141</v>
      </c>
      <c r="B234">
        <v>2</v>
      </c>
      <c r="C234">
        <v>10</v>
      </c>
      <c r="G234" s="40">
        <v>0.46</v>
      </c>
      <c r="H234" s="6">
        <v>11.2</v>
      </c>
      <c r="I234">
        <v>68</v>
      </c>
      <c r="J234">
        <v>2280</v>
      </c>
      <c r="K234" s="40">
        <v>810</v>
      </c>
      <c r="L234">
        <v>2630</v>
      </c>
      <c r="M234">
        <v>6710</v>
      </c>
      <c r="N234">
        <v>0</v>
      </c>
      <c r="O234">
        <v>190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 s="40"/>
      <c r="AA234" s="40">
        <v>14.1</v>
      </c>
      <c r="AE234" s="40"/>
      <c r="AF234">
        <v>0.9</v>
      </c>
    </row>
    <row r="235" spans="1:36" x14ac:dyDescent="0.3">
      <c r="A235" s="6" t="s">
        <v>142</v>
      </c>
      <c r="B235">
        <v>4</v>
      </c>
      <c r="C235">
        <v>5</v>
      </c>
      <c r="G235" s="40">
        <v>0.26</v>
      </c>
      <c r="H235" s="6">
        <v>87.7</v>
      </c>
      <c r="I235">
        <v>56</v>
      </c>
      <c r="J235">
        <v>554</v>
      </c>
      <c r="K235" s="40">
        <v>478</v>
      </c>
      <c r="L235">
        <v>322</v>
      </c>
      <c r="M235">
        <v>60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s="40"/>
      <c r="AA235" s="40">
        <v>2.97</v>
      </c>
      <c r="AB235">
        <v>9.1999999999999993</v>
      </c>
      <c r="AE235" s="40"/>
      <c r="AF235">
        <v>133</v>
      </c>
    </row>
    <row r="236" spans="1:36" x14ac:dyDescent="0.3">
      <c r="A236" s="6" t="s">
        <v>143</v>
      </c>
      <c r="B236">
        <v>990</v>
      </c>
      <c r="C236">
        <v>530</v>
      </c>
      <c r="G236" s="40">
        <v>1.01</v>
      </c>
      <c r="H236" s="6">
        <v>34.5</v>
      </c>
      <c r="I236">
        <v>3600</v>
      </c>
      <c r="J236">
        <v>144</v>
      </c>
      <c r="K236" s="40">
        <v>6670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 s="40"/>
      <c r="AA236" s="40">
        <v>13.3</v>
      </c>
      <c r="AD236">
        <v>0.24</v>
      </c>
      <c r="AE236" s="40"/>
    </row>
    <row r="237" spans="1:36" x14ac:dyDescent="0.3">
      <c r="A237" s="6" t="s">
        <v>144</v>
      </c>
      <c r="B237">
        <v>765</v>
      </c>
      <c r="C237">
        <v>387</v>
      </c>
      <c r="G237" s="40">
        <v>1.26</v>
      </c>
      <c r="H237" s="6">
        <v>73.5</v>
      </c>
      <c r="I237">
        <v>59</v>
      </c>
      <c r="J237">
        <v>1010</v>
      </c>
      <c r="K237" s="40">
        <v>300</v>
      </c>
      <c r="L237">
        <v>5750</v>
      </c>
      <c r="M237">
        <v>5850</v>
      </c>
      <c r="N237">
        <v>0</v>
      </c>
      <c r="O237">
        <v>0</v>
      </c>
      <c r="P237">
        <v>280</v>
      </c>
      <c r="Q237">
        <v>0</v>
      </c>
      <c r="R237">
        <v>0</v>
      </c>
      <c r="S237">
        <v>0</v>
      </c>
      <c r="T237">
        <v>0</v>
      </c>
      <c r="U237">
        <v>0</v>
      </c>
      <c r="V237" s="40"/>
      <c r="AA237" s="40">
        <v>4.32</v>
      </c>
      <c r="AE237" s="40"/>
      <c r="AF237">
        <v>21.9</v>
      </c>
    </row>
    <row r="238" spans="1:36" x14ac:dyDescent="0.3">
      <c r="A238" s="6" t="s">
        <v>145</v>
      </c>
      <c r="B238">
        <v>16</v>
      </c>
      <c r="C238">
        <v>20</v>
      </c>
      <c r="G238" s="40">
        <v>0.61</v>
      </c>
      <c r="H238" s="6">
        <v>88.3</v>
      </c>
      <c r="I238">
        <v>13</v>
      </c>
      <c r="J238">
        <v>122</v>
      </c>
      <c r="K238" s="40"/>
      <c r="V238" s="40"/>
      <c r="AA238" s="40">
        <v>0.91</v>
      </c>
      <c r="AB238">
        <v>7.4</v>
      </c>
      <c r="AE238" s="40"/>
      <c r="AF238">
        <v>4.0999999999999996</v>
      </c>
    </row>
    <row r="239" spans="1:36" x14ac:dyDescent="0.3">
      <c r="A239" s="6" t="s">
        <v>407</v>
      </c>
      <c r="B239">
        <v>105</v>
      </c>
      <c r="G239" s="40">
        <v>0.56499999999999995</v>
      </c>
      <c r="H239" s="6">
        <v>6.5</v>
      </c>
      <c r="I239">
        <v>18</v>
      </c>
      <c r="J239">
        <v>705</v>
      </c>
      <c r="K239" s="40"/>
      <c r="V239" s="40"/>
      <c r="AA239" s="40">
        <v>25.8</v>
      </c>
      <c r="AB239">
        <v>1.72</v>
      </c>
      <c r="AE239" s="40"/>
      <c r="AF239">
        <v>0</v>
      </c>
    </row>
    <row r="240" spans="1:36" x14ac:dyDescent="0.3">
      <c r="A240" s="6" t="s">
        <v>263</v>
      </c>
      <c r="B240">
        <v>79.400000000000006</v>
      </c>
      <c r="G240" s="40">
        <v>1.0900000000000001</v>
      </c>
      <c r="H240" s="6">
        <v>1.23</v>
      </c>
      <c r="I240">
        <v>17</v>
      </c>
      <c r="J240">
        <v>558</v>
      </c>
      <c r="K240" s="40">
        <v>10200</v>
      </c>
      <c r="L240">
        <v>130</v>
      </c>
      <c r="M240">
        <v>120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40"/>
      <c r="AA240" s="40">
        <v>22.2</v>
      </c>
      <c r="AB240">
        <v>2.4</v>
      </c>
      <c r="AE240" s="40"/>
      <c r="AF240">
        <v>0</v>
      </c>
    </row>
    <row r="241" spans="1:36" x14ac:dyDescent="0.3">
      <c r="A241" s="6" t="s">
        <v>146</v>
      </c>
      <c r="B241">
        <v>45</v>
      </c>
      <c r="C241">
        <v>47</v>
      </c>
      <c r="G241" s="40">
        <v>0.45</v>
      </c>
      <c r="H241" s="6">
        <v>7.68</v>
      </c>
      <c r="I241">
        <v>1</v>
      </c>
      <c r="J241">
        <v>500</v>
      </c>
      <c r="K241" s="40"/>
      <c r="V241" s="40"/>
      <c r="AA241" s="40">
        <v>4.46</v>
      </c>
      <c r="AE241" s="40"/>
    </row>
    <row r="242" spans="1:36" x14ac:dyDescent="0.3">
      <c r="A242" s="6" t="s">
        <v>147</v>
      </c>
      <c r="B242">
        <v>8</v>
      </c>
      <c r="C242">
        <v>14</v>
      </c>
      <c r="G242" s="40">
        <v>0.9</v>
      </c>
      <c r="H242" s="6">
        <v>80.3</v>
      </c>
      <c r="I242">
        <v>1</v>
      </c>
      <c r="J242">
        <v>161</v>
      </c>
      <c r="K242" s="40">
        <v>1540</v>
      </c>
      <c r="L242">
        <v>5440</v>
      </c>
      <c r="M242">
        <v>5560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s="40"/>
      <c r="AA242" s="40">
        <v>0.57999999999999996</v>
      </c>
      <c r="AE242" s="40"/>
      <c r="AF242">
        <v>7.5</v>
      </c>
    </row>
    <row r="243" spans="1:36" x14ac:dyDescent="0.3">
      <c r="A243" s="6" t="s">
        <v>513</v>
      </c>
      <c r="B243">
        <v>0</v>
      </c>
      <c r="C243">
        <v>0</v>
      </c>
      <c r="D243">
        <v>0</v>
      </c>
      <c r="E243">
        <v>0</v>
      </c>
      <c r="F243">
        <v>0</v>
      </c>
      <c r="G243" s="40">
        <v>1.22</v>
      </c>
      <c r="H243" s="6">
        <v>0.1</v>
      </c>
      <c r="I243">
        <v>39356</v>
      </c>
      <c r="J243">
        <v>0</v>
      </c>
      <c r="K243" s="40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V243" s="40">
        <v>0</v>
      </c>
      <c r="W243">
        <v>0</v>
      </c>
      <c r="X243">
        <v>0</v>
      </c>
      <c r="Y243">
        <v>0</v>
      </c>
      <c r="Z243">
        <v>0</v>
      </c>
      <c r="AA243" s="40">
        <v>0</v>
      </c>
      <c r="AE243" s="40">
        <v>0</v>
      </c>
      <c r="AF243">
        <v>0</v>
      </c>
      <c r="AG243">
        <v>0</v>
      </c>
      <c r="AH243">
        <v>0</v>
      </c>
      <c r="AI243">
        <v>0</v>
      </c>
      <c r="AJ243">
        <v>0</v>
      </c>
    </row>
    <row r="244" spans="1:36" x14ac:dyDescent="0.3">
      <c r="A244" s="6" t="s">
        <v>519</v>
      </c>
      <c r="B244">
        <v>0</v>
      </c>
      <c r="C244">
        <v>0</v>
      </c>
      <c r="D244">
        <v>0</v>
      </c>
      <c r="E244">
        <v>0</v>
      </c>
      <c r="F244">
        <v>0</v>
      </c>
      <c r="G244" s="40">
        <v>1.03</v>
      </c>
      <c r="H244" s="6">
        <v>0</v>
      </c>
      <c r="I244">
        <v>38552</v>
      </c>
      <c r="J244">
        <v>280</v>
      </c>
      <c r="K244" s="40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V244" s="40">
        <v>0</v>
      </c>
      <c r="W244">
        <v>0</v>
      </c>
      <c r="X244">
        <v>0</v>
      </c>
      <c r="Y244">
        <v>0</v>
      </c>
      <c r="Z244">
        <v>0</v>
      </c>
      <c r="AA244" s="40">
        <v>0</v>
      </c>
      <c r="AE244" s="40">
        <v>0</v>
      </c>
      <c r="AF244">
        <v>0</v>
      </c>
      <c r="AG244">
        <v>0</v>
      </c>
      <c r="AH244">
        <v>0</v>
      </c>
      <c r="AI244">
        <v>0</v>
      </c>
      <c r="AJ244">
        <v>0</v>
      </c>
    </row>
    <row r="245" spans="1:36" x14ac:dyDescent="0.3">
      <c r="A245" s="6" t="s">
        <v>265</v>
      </c>
      <c r="B245">
        <v>94.4</v>
      </c>
      <c r="G245" s="40">
        <v>1.04</v>
      </c>
      <c r="H245" s="6">
        <v>43.2</v>
      </c>
      <c r="I245">
        <v>598</v>
      </c>
      <c r="J245">
        <v>172</v>
      </c>
      <c r="K245" s="40">
        <v>200</v>
      </c>
      <c r="L245">
        <v>780</v>
      </c>
      <c r="M245">
        <v>1000</v>
      </c>
      <c r="N245">
        <v>420</v>
      </c>
      <c r="O245">
        <v>130</v>
      </c>
      <c r="P245">
        <v>1050</v>
      </c>
      <c r="Q245">
        <v>0</v>
      </c>
      <c r="R245">
        <v>0</v>
      </c>
      <c r="S245">
        <v>0</v>
      </c>
      <c r="T245">
        <v>0</v>
      </c>
      <c r="U245">
        <v>0</v>
      </c>
      <c r="V245" s="40"/>
      <c r="AA245" s="40">
        <v>11.4</v>
      </c>
      <c r="AB245">
        <v>0</v>
      </c>
      <c r="AE245" s="40"/>
      <c r="AF245">
        <v>1.4</v>
      </c>
    </row>
    <row r="246" spans="1:36" x14ac:dyDescent="0.3">
      <c r="A246" s="6" t="s">
        <v>148</v>
      </c>
      <c r="B246">
        <v>10</v>
      </c>
      <c r="C246">
        <v>10</v>
      </c>
      <c r="G246" s="40">
        <v>0.64200000000000002</v>
      </c>
      <c r="H246" s="6">
        <v>87.2</v>
      </c>
      <c r="I246">
        <v>0</v>
      </c>
      <c r="J246">
        <v>157</v>
      </c>
      <c r="K246" s="40">
        <v>1570</v>
      </c>
      <c r="L246">
        <v>5070</v>
      </c>
      <c r="M246">
        <v>3070</v>
      </c>
      <c r="N246">
        <v>0</v>
      </c>
      <c r="O246">
        <v>140</v>
      </c>
      <c r="P246">
        <v>80</v>
      </c>
      <c r="Q246">
        <v>0</v>
      </c>
      <c r="R246">
        <v>0</v>
      </c>
      <c r="S246">
        <v>0</v>
      </c>
      <c r="T246">
        <v>0</v>
      </c>
      <c r="U246">
        <v>0</v>
      </c>
      <c r="V246" s="40"/>
      <c r="AA246" s="40">
        <v>0.7</v>
      </c>
      <c r="AE246" s="40"/>
      <c r="AF246">
        <v>9.5</v>
      </c>
    </row>
    <row r="247" spans="1:36" x14ac:dyDescent="0.3">
      <c r="A247" s="6" t="s">
        <v>306</v>
      </c>
      <c r="B247">
        <v>18.600000000000001</v>
      </c>
      <c r="C247">
        <v>518.4</v>
      </c>
      <c r="G247" s="40">
        <v>0.73599999999999999</v>
      </c>
      <c r="H247" s="6">
        <v>30.92</v>
      </c>
      <c r="I247">
        <v>2</v>
      </c>
      <c r="J247">
        <v>732</v>
      </c>
      <c r="K247" s="40"/>
      <c r="V247" s="40"/>
      <c r="AA247" s="40">
        <v>2.1800000000000002</v>
      </c>
      <c r="AE247" s="40"/>
      <c r="AF247">
        <v>0.6</v>
      </c>
    </row>
    <row r="248" spans="1:36" x14ac:dyDescent="0.3">
      <c r="A248" s="6" t="s">
        <v>305</v>
      </c>
      <c r="B248">
        <v>14.4</v>
      </c>
      <c r="C248">
        <v>185.5</v>
      </c>
      <c r="G248" s="40">
        <v>0.64200000000000002</v>
      </c>
      <c r="H248" s="6">
        <v>87.2</v>
      </c>
      <c r="I248">
        <v>1.9</v>
      </c>
      <c r="J248">
        <v>695</v>
      </c>
      <c r="K248" s="40"/>
      <c r="V248" s="40"/>
      <c r="AA248" s="40"/>
      <c r="AE248" s="40"/>
    </row>
    <row r="249" spans="1:36" x14ac:dyDescent="0.3">
      <c r="A249" s="6" t="s">
        <v>149</v>
      </c>
      <c r="B249">
        <v>10</v>
      </c>
      <c r="C249">
        <v>2</v>
      </c>
      <c r="E249">
        <v>230</v>
      </c>
      <c r="G249" s="40">
        <v>1.091</v>
      </c>
      <c r="H249" s="6">
        <v>61.1</v>
      </c>
      <c r="I249">
        <v>56</v>
      </c>
      <c r="J249">
        <v>287</v>
      </c>
      <c r="K249" s="40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s="40">
        <v>0</v>
      </c>
      <c r="W249">
        <v>0</v>
      </c>
      <c r="X249">
        <v>0</v>
      </c>
      <c r="Y249">
        <v>0</v>
      </c>
      <c r="Z249">
        <v>0</v>
      </c>
      <c r="AA249" s="40">
        <v>16.899999999999999</v>
      </c>
      <c r="AB249">
        <v>41.5</v>
      </c>
      <c r="AE249" s="40"/>
      <c r="AF249">
        <v>0.7</v>
      </c>
    </row>
    <row r="250" spans="1:36" x14ac:dyDescent="0.3">
      <c r="A250" s="6" t="s">
        <v>150</v>
      </c>
      <c r="B250">
        <v>15</v>
      </c>
      <c r="C250">
        <v>2</v>
      </c>
      <c r="E250">
        <v>60</v>
      </c>
      <c r="G250" s="40">
        <v>1.091</v>
      </c>
      <c r="H250" s="6">
        <v>73.78</v>
      </c>
      <c r="I250">
        <v>1357.1</v>
      </c>
      <c r="J250">
        <v>435.7</v>
      </c>
      <c r="K250" s="40"/>
      <c r="V250" s="40"/>
      <c r="AA250" s="40">
        <v>25</v>
      </c>
      <c r="AE250" s="40"/>
    </row>
    <row r="251" spans="1:36" x14ac:dyDescent="0.3">
      <c r="A251" s="6" t="s">
        <v>505</v>
      </c>
      <c r="B251">
        <v>0</v>
      </c>
      <c r="C251">
        <v>0</v>
      </c>
      <c r="D251">
        <v>0</v>
      </c>
      <c r="E251">
        <v>0</v>
      </c>
      <c r="F251">
        <v>0</v>
      </c>
      <c r="G251" s="40">
        <v>1.2</v>
      </c>
      <c r="H251" s="6">
        <v>0</v>
      </c>
      <c r="I251">
        <v>0</v>
      </c>
      <c r="J251">
        <v>52445</v>
      </c>
      <c r="K251" s="40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V251" s="40">
        <v>0</v>
      </c>
      <c r="W251">
        <v>0</v>
      </c>
      <c r="X251">
        <v>0</v>
      </c>
      <c r="Y251">
        <v>0</v>
      </c>
      <c r="Z251">
        <v>0</v>
      </c>
      <c r="AA251" s="40">
        <v>0</v>
      </c>
      <c r="AE251" s="40">
        <v>0</v>
      </c>
      <c r="AF251">
        <v>0</v>
      </c>
      <c r="AG251">
        <v>0</v>
      </c>
      <c r="AH251">
        <v>0</v>
      </c>
      <c r="AI251">
        <v>0</v>
      </c>
      <c r="AJ251">
        <v>0</v>
      </c>
    </row>
    <row r="252" spans="1:36" x14ac:dyDescent="0.3">
      <c r="A252" s="6" t="s">
        <v>264</v>
      </c>
      <c r="B252">
        <v>65</v>
      </c>
      <c r="C252">
        <v>13</v>
      </c>
      <c r="G252" s="40">
        <v>0.67500000000000004</v>
      </c>
      <c r="H252" s="6">
        <v>79</v>
      </c>
      <c r="I252">
        <v>6</v>
      </c>
      <c r="J252">
        <v>425</v>
      </c>
      <c r="K252" s="40">
        <v>170</v>
      </c>
      <c r="L252">
        <v>310</v>
      </c>
      <c r="M252">
        <v>260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s="40"/>
      <c r="AA252" s="40">
        <v>2.0499999999999998</v>
      </c>
      <c r="AB252">
        <v>6.36</v>
      </c>
      <c r="AE252" s="40"/>
      <c r="AF252">
        <v>19.7</v>
      </c>
    </row>
    <row r="253" spans="1:36" x14ac:dyDescent="0.3">
      <c r="A253" s="6" t="s">
        <v>266</v>
      </c>
      <c r="B253">
        <v>198</v>
      </c>
      <c r="G253" s="40">
        <v>5.6000000000000001E-2</v>
      </c>
      <c r="H253" s="6">
        <v>1.9</v>
      </c>
      <c r="I253">
        <v>8</v>
      </c>
      <c r="J253">
        <v>1280</v>
      </c>
      <c r="K253" s="40"/>
      <c r="V253" s="40"/>
      <c r="AA253" s="40">
        <v>7</v>
      </c>
      <c r="AB253">
        <v>27.1</v>
      </c>
      <c r="AE253" s="40"/>
      <c r="AF253">
        <v>31.1</v>
      </c>
    </row>
    <row r="254" spans="1:36" x14ac:dyDescent="0.3">
      <c r="A254" s="6" t="s">
        <v>151</v>
      </c>
      <c r="B254">
        <v>120</v>
      </c>
      <c r="C254">
        <v>21</v>
      </c>
      <c r="E254">
        <v>90</v>
      </c>
      <c r="G254" s="40">
        <v>0.57999999999999996</v>
      </c>
      <c r="H254" s="6">
        <v>78.400000000000006</v>
      </c>
      <c r="I254">
        <v>119</v>
      </c>
      <c r="J254">
        <v>264</v>
      </c>
      <c r="K254" s="40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s="40">
        <v>0</v>
      </c>
      <c r="W254">
        <v>0</v>
      </c>
      <c r="X254">
        <v>0</v>
      </c>
      <c r="Y254">
        <v>0</v>
      </c>
      <c r="Z254">
        <v>0</v>
      </c>
      <c r="AA254" s="40">
        <v>20.100000000000001</v>
      </c>
      <c r="AB254">
        <v>1.3</v>
      </c>
      <c r="AE254" s="40"/>
    </row>
    <row r="255" spans="1:36" x14ac:dyDescent="0.3">
      <c r="A255" s="6" t="s">
        <v>152</v>
      </c>
      <c r="B255">
        <v>1</v>
      </c>
      <c r="C255">
        <v>3</v>
      </c>
      <c r="G255" s="40">
        <v>0.88</v>
      </c>
      <c r="H255" s="6">
        <v>95.3</v>
      </c>
      <c r="I255">
        <v>39</v>
      </c>
      <c r="J255">
        <v>233</v>
      </c>
      <c r="K255" s="40">
        <v>100</v>
      </c>
      <c r="L255">
        <v>1050</v>
      </c>
      <c r="M255">
        <v>710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s="40"/>
      <c r="AA255" s="40">
        <v>0.68</v>
      </c>
      <c r="AB255">
        <v>1.1000000000000001</v>
      </c>
      <c r="AC255">
        <v>6.4</v>
      </c>
      <c r="AE255" s="40"/>
      <c r="AF255">
        <v>14.8</v>
      </c>
    </row>
    <row r="256" spans="1:36" x14ac:dyDescent="0.3">
      <c r="A256" s="6" t="s">
        <v>153</v>
      </c>
      <c r="B256">
        <v>11</v>
      </c>
      <c r="C256">
        <v>5</v>
      </c>
      <c r="G256" s="40">
        <v>0.77</v>
      </c>
      <c r="H256" s="6">
        <v>68.599999999999994</v>
      </c>
      <c r="I256">
        <v>0</v>
      </c>
      <c r="J256">
        <v>29</v>
      </c>
      <c r="K256" s="40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s="40"/>
      <c r="AA256" s="40">
        <v>2.38</v>
      </c>
      <c r="AB256">
        <v>1.6</v>
      </c>
      <c r="AE256" s="40"/>
      <c r="AF256">
        <v>0</v>
      </c>
    </row>
    <row r="257" spans="1:36" x14ac:dyDescent="0.3">
      <c r="A257" s="6" t="s">
        <v>154</v>
      </c>
      <c r="B257">
        <v>133</v>
      </c>
      <c r="C257">
        <v>73</v>
      </c>
      <c r="G257" s="40">
        <v>0.42</v>
      </c>
      <c r="H257" s="6">
        <v>6.13</v>
      </c>
      <c r="I257">
        <v>5</v>
      </c>
      <c r="J257">
        <v>1480</v>
      </c>
      <c r="K257" s="40">
        <v>500</v>
      </c>
      <c r="L257">
        <v>200</v>
      </c>
      <c r="M257">
        <v>200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 s="40"/>
      <c r="AA257" s="40">
        <v>13.4</v>
      </c>
      <c r="AE257" s="40"/>
      <c r="AF257">
        <v>0</v>
      </c>
    </row>
    <row r="258" spans="1:36" x14ac:dyDescent="0.3">
      <c r="A258" s="6" t="s">
        <v>155</v>
      </c>
      <c r="B258">
        <v>232</v>
      </c>
      <c r="C258">
        <v>115</v>
      </c>
      <c r="G258" s="40">
        <v>0.5</v>
      </c>
      <c r="H258" s="6">
        <v>13</v>
      </c>
      <c r="I258">
        <v>0.2</v>
      </c>
      <c r="J258">
        <v>171</v>
      </c>
      <c r="K258" s="40"/>
      <c r="V258" s="40"/>
      <c r="AA258" s="40"/>
      <c r="AE258" s="40"/>
    </row>
    <row r="259" spans="1:36" x14ac:dyDescent="0.3">
      <c r="A259" s="6" t="s">
        <v>156</v>
      </c>
      <c r="B259">
        <v>24</v>
      </c>
      <c r="C259">
        <v>12</v>
      </c>
      <c r="E259">
        <v>3</v>
      </c>
      <c r="G259" s="40">
        <v>0.94799999999999995</v>
      </c>
      <c r="H259" s="6">
        <v>67.7</v>
      </c>
      <c r="I259">
        <v>91</v>
      </c>
      <c r="J259">
        <v>221</v>
      </c>
      <c r="K259" s="40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40">
        <v>0</v>
      </c>
      <c r="W259">
        <v>0</v>
      </c>
      <c r="X259">
        <v>0</v>
      </c>
      <c r="Y259">
        <v>0</v>
      </c>
      <c r="Z259">
        <v>0</v>
      </c>
      <c r="AA259" s="40">
        <v>22.3</v>
      </c>
      <c r="AE259" s="40"/>
      <c r="AF259">
        <v>16</v>
      </c>
    </row>
    <row r="260" spans="1:36" x14ac:dyDescent="0.3">
      <c r="A260" s="6" t="s">
        <v>190</v>
      </c>
      <c r="B260">
        <v>0</v>
      </c>
      <c r="C260">
        <v>0</v>
      </c>
      <c r="D260">
        <v>0</v>
      </c>
      <c r="E260">
        <v>0</v>
      </c>
      <c r="F260">
        <v>0</v>
      </c>
      <c r="G260" s="40">
        <v>1.2</v>
      </c>
      <c r="H260" s="6">
        <v>0.1</v>
      </c>
      <c r="I260">
        <v>39356</v>
      </c>
      <c r="J260">
        <v>0</v>
      </c>
      <c r="K260" s="4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40">
        <v>0</v>
      </c>
      <c r="W260">
        <v>0</v>
      </c>
      <c r="X260">
        <v>0</v>
      </c>
      <c r="Y260">
        <v>0</v>
      </c>
      <c r="Z260">
        <v>0</v>
      </c>
      <c r="AA260" s="40">
        <v>0</v>
      </c>
      <c r="AB260">
        <v>0</v>
      </c>
      <c r="AC260">
        <v>0</v>
      </c>
      <c r="AE260" s="40">
        <v>0</v>
      </c>
      <c r="AF260">
        <v>0</v>
      </c>
      <c r="AG260">
        <v>0</v>
      </c>
      <c r="AH260">
        <v>0</v>
      </c>
      <c r="AI260">
        <v>0</v>
      </c>
      <c r="AJ260">
        <v>0</v>
      </c>
    </row>
    <row r="261" spans="1:36" x14ac:dyDescent="0.3">
      <c r="A261" s="6" t="s">
        <v>504</v>
      </c>
      <c r="B261">
        <v>0</v>
      </c>
      <c r="C261">
        <v>0</v>
      </c>
      <c r="D261">
        <v>0</v>
      </c>
      <c r="E261">
        <v>0</v>
      </c>
      <c r="F261">
        <v>0</v>
      </c>
      <c r="G261" s="40">
        <v>1.2</v>
      </c>
      <c r="H261" s="6">
        <v>0.1</v>
      </c>
      <c r="I261">
        <v>0</v>
      </c>
      <c r="J261">
        <v>52445</v>
      </c>
      <c r="K261" s="40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40">
        <v>0</v>
      </c>
      <c r="W261">
        <v>0</v>
      </c>
      <c r="X261">
        <v>0</v>
      </c>
      <c r="Y261">
        <v>0</v>
      </c>
      <c r="Z261">
        <v>0</v>
      </c>
      <c r="AA261" s="40">
        <v>0</v>
      </c>
      <c r="AB261">
        <v>0</v>
      </c>
      <c r="AC261">
        <v>0</v>
      </c>
      <c r="AE261" s="40">
        <v>0</v>
      </c>
      <c r="AF261">
        <v>0</v>
      </c>
      <c r="AG261">
        <v>0</v>
      </c>
      <c r="AH261">
        <v>0</v>
      </c>
      <c r="AI261">
        <v>0</v>
      </c>
      <c r="AJ261">
        <v>0</v>
      </c>
    </row>
    <row r="262" spans="1:36" x14ac:dyDescent="0.3">
      <c r="A262" s="6" t="s">
        <v>157</v>
      </c>
      <c r="B262">
        <v>149</v>
      </c>
      <c r="C262">
        <v>73</v>
      </c>
      <c r="G262" s="40">
        <v>1.22</v>
      </c>
      <c r="H262" s="6">
        <v>54.7</v>
      </c>
      <c r="I262">
        <v>1030</v>
      </c>
      <c r="J262">
        <v>232</v>
      </c>
      <c r="K262" s="40">
        <v>2680</v>
      </c>
      <c r="L262">
        <v>16400</v>
      </c>
      <c r="M262">
        <v>14200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40"/>
      <c r="AA262" s="40">
        <v>0.82</v>
      </c>
      <c r="AE262" s="40"/>
      <c r="AF262">
        <v>0.6</v>
      </c>
    </row>
    <row r="263" spans="1:36" x14ac:dyDescent="0.3">
      <c r="A263" s="6" t="s">
        <v>158</v>
      </c>
      <c r="B263">
        <v>64</v>
      </c>
      <c r="C263">
        <v>61</v>
      </c>
      <c r="G263" s="40">
        <v>1.149</v>
      </c>
      <c r="H263" s="6">
        <v>71.2</v>
      </c>
      <c r="I263">
        <v>1320</v>
      </c>
      <c r="J263">
        <v>206</v>
      </c>
      <c r="K263" s="40"/>
      <c r="V263" s="40"/>
      <c r="AA263" s="40">
        <v>2.94</v>
      </c>
      <c r="AE263" s="40"/>
    </row>
    <row r="264" spans="1:36" x14ac:dyDescent="0.3">
      <c r="A264" s="6" t="s">
        <v>159</v>
      </c>
      <c r="B264">
        <v>950</v>
      </c>
      <c r="C264">
        <v>760</v>
      </c>
      <c r="G264" s="40">
        <v>1.22</v>
      </c>
      <c r="H264" s="6">
        <v>71.069999999999993</v>
      </c>
      <c r="I264">
        <v>7851</v>
      </c>
      <c r="J264">
        <v>288</v>
      </c>
      <c r="K264" s="40"/>
      <c r="V264" s="40"/>
      <c r="AA264" s="40">
        <v>5.0599999999999996</v>
      </c>
      <c r="AD264">
        <v>0.43</v>
      </c>
      <c r="AE264" s="40"/>
      <c r="AF264">
        <v>0.5</v>
      </c>
    </row>
    <row r="265" spans="1:36" x14ac:dyDescent="0.3">
      <c r="A265" s="6" t="s">
        <v>160</v>
      </c>
      <c r="B265">
        <v>900</v>
      </c>
      <c r="C265">
        <v>240</v>
      </c>
      <c r="G265" s="40">
        <v>1.08</v>
      </c>
      <c r="H265" s="6">
        <v>78.31</v>
      </c>
      <c r="I265">
        <v>2733</v>
      </c>
      <c r="J265">
        <v>54</v>
      </c>
      <c r="K265" s="40"/>
      <c r="V265" s="40"/>
      <c r="AA265" s="40"/>
      <c r="AE265" s="40"/>
    </row>
    <row r="266" spans="1:36" x14ac:dyDescent="0.3">
      <c r="A266" s="6" t="s">
        <v>161</v>
      </c>
      <c r="B266">
        <v>1050</v>
      </c>
      <c r="C266">
        <v>620</v>
      </c>
      <c r="G266" s="40">
        <v>1.2161999999999999</v>
      </c>
      <c r="H266" s="6">
        <v>71.2</v>
      </c>
      <c r="I266">
        <v>5490</v>
      </c>
      <c r="J266">
        <v>435</v>
      </c>
      <c r="K266" s="40">
        <v>100</v>
      </c>
      <c r="L266">
        <v>300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40"/>
      <c r="AA266" s="40">
        <v>8.14</v>
      </c>
      <c r="AD266">
        <v>0.33</v>
      </c>
      <c r="AE266" s="40"/>
      <c r="AF266">
        <v>0</v>
      </c>
    </row>
    <row r="267" spans="1:36" x14ac:dyDescent="0.3">
      <c r="A267" s="6" t="s">
        <v>162</v>
      </c>
      <c r="B267">
        <v>581</v>
      </c>
      <c r="C267">
        <v>661</v>
      </c>
      <c r="G267" s="40">
        <v>1.22</v>
      </c>
      <c r="H267" s="6">
        <v>65.97</v>
      </c>
      <c r="K267" s="40"/>
      <c r="V267" s="40"/>
      <c r="AA267" s="40"/>
      <c r="AE267" s="40"/>
    </row>
    <row r="268" spans="1:36" x14ac:dyDescent="0.3">
      <c r="A268" s="6" t="s">
        <v>163</v>
      </c>
      <c r="B268">
        <v>90</v>
      </c>
      <c r="C268">
        <v>74</v>
      </c>
      <c r="G268" s="40">
        <v>1.1499999999999999</v>
      </c>
      <c r="H268" s="6">
        <v>71</v>
      </c>
      <c r="I268">
        <v>1647</v>
      </c>
      <c r="J268">
        <v>312</v>
      </c>
      <c r="K268" s="40"/>
      <c r="V268" s="40"/>
      <c r="AA268" s="40"/>
      <c r="AE268" s="40"/>
    </row>
    <row r="269" spans="1:36" x14ac:dyDescent="0.3">
      <c r="A269" s="6" t="s">
        <v>290</v>
      </c>
      <c r="B269">
        <v>30.5</v>
      </c>
      <c r="G269" s="40">
        <v>0.97</v>
      </c>
      <c r="H269" s="6">
        <v>67</v>
      </c>
      <c r="I269">
        <v>667</v>
      </c>
      <c r="J269">
        <v>68</v>
      </c>
      <c r="K269" s="40"/>
      <c r="V269" s="40"/>
      <c r="AA269" s="40">
        <v>1</v>
      </c>
      <c r="AE269" s="40"/>
    </row>
    <row r="270" spans="1:36" x14ac:dyDescent="0.3">
      <c r="A270" s="6" t="s">
        <v>262</v>
      </c>
      <c r="B270">
        <v>440</v>
      </c>
      <c r="G270" s="40">
        <v>1.1000000000000001</v>
      </c>
      <c r="H270" s="6">
        <v>91.3</v>
      </c>
      <c r="I270">
        <v>11</v>
      </c>
      <c r="J270">
        <v>331</v>
      </c>
      <c r="K270" s="40"/>
      <c r="V270" s="40"/>
      <c r="AA270" s="40"/>
      <c r="AB270">
        <v>0.89</v>
      </c>
      <c r="AE270" s="40"/>
    </row>
    <row r="271" spans="1:36" x14ac:dyDescent="0.3">
      <c r="A271" s="6" t="s">
        <v>164</v>
      </c>
      <c r="B271">
        <v>34</v>
      </c>
      <c r="C271">
        <v>43</v>
      </c>
      <c r="G271" s="40">
        <v>1.01</v>
      </c>
      <c r="H271" s="6">
        <v>78.5</v>
      </c>
      <c r="I271">
        <v>1300</v>
      </c>
      <c r="J271">
        <v>800</v>
      </c>
      <c r="K271" s="40"/>
      <c r="V271" s="40"/>
      <c r="AA271" s="40"/>
      <c r="AE271" s="40"/>
    </row>
    <row r="272" spans="1:36" x14ac:dyDescent="0.3">
      <c r="A272" s="6" t="s">
        <v>165</v>
      </c>
      <c r="B272">
        <v>140</v>
      </c>
      <c r="C272">
        <v>4</v>
      </c>
      <c r="F272">
        <v>100</v>
      </c>
      <c r="G272" s="40">
        <v>0.96</v>
      </c>
      <c r="H272" s="6">
        <v>13.5</v>
      </c>
      <c r="I272">
        <v>161</v>
      </c>
      <c r="J272">
        <v>336</v>
      </c>
      <c r="K272" s="40"/>
      <c r="V272" s="40"/>
      <c r="AA272" s="40">
        <v>15.2</v>
      </c>
      <c r="AD272">
        <v>6.4000000000000001E-2</v>
      </c>
      <c r="AE272" s="40"/>
    </row>
    <row r="273" spans="1:36" x14ac:dyDescent="0.3">
      <c r="A273" s="6" t="s">
        <v>166</v>
      </c>
      <c r="B273">
        <v>140</v>
      </c>
      <c r="C273">
        <v>4</v>
      </c>
      <c r="D273">
        <v>172</v>
      </c>
      <c r="G273" s="40">
        <v>1.07</v>
      </c>
      <c r="H273" s="6">
        <v>82.5</v>
      </c>
      <c r="I273">
        <v>392</v>
      </c>
      <c r="J273">
        <v>205</v>
      </c>
      <c r="K273" s="40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 s="40">
        <v>0</v>
      </c>
      <c r="W273">
        <v>0</v>
      </c>
      <c r="X273">
        <v>0</v>
      </c>
      <c r="Y273">
        <v>0</v>
      </c>
      <c r="Z273">
        <v>0</v>
      </c>
      <c r="AA273" s="40">
        <v>12.1</v>
      </c>
      <c r="AD273">
        <v>8.0000000000000002E-3</v>
      </c>
      <c r="AE273" s="40"/>
      <c r="AF273">
        <v>0</v>
      </c>
    </row>
    <row r="274" spans="1:36" x14ac:dyDescent="0.3">
      <c r="A274" s="6" t="s">
        <v>167</v>
      </c>
      <c r="B274">
        <v>1300</v>
      </c>
      <c r="C274">
        <v>350</v>
      </c>
      <c r="G274" s="40">
        <v>0.34</v>
      </c>
      <c r="H274" s="6">
        <v>6.68</v>
      </c>
      <c r="I274">
        <v>575</v>
      </c>
      <c r="J274">
        <v>1244</v>
      </c>
      <c r="K274" s="40"/>
      <c r="V274" s="40"/>
      <c r="AA274" s="40"/>
      <c r="AE274" s="40"/>
    </row>
    <row r="275" spans="1:36" x14ac:dyDescent="0.3">
      <c r="A275" s="6" t="s">
        <v>168</v>
      </c>
      <c r="B275">
        <v>760</v>
      </c>
      <c r="C275">
        <v>312</v>
      </c>
      <c r="E275">
        <v>20</v>
      </c>
      <c r="F275">
        <v>40</v>
      </c>
      <c r="G275" s="40">
        <v>0.34</v>
      </c>
      <c r="H275" s="6">
        <v>6.68</v>
      </c>
      <c r="I275">
        <v>575</v>
      </c>
      <c r="J275">
        <v>1244</v>
      </c>
      <c r="K275" s="40"/>
      <c r="V275" s="40"/>
      <c r="AA275" s="40"/>
      <c r="AE275" s="40"/>
    </row>
    <row r="276" spans="1:36" x14ac:dyDescent="0.3">
      <c r="A276" s="6" t="s">
        <v>520</v>
      </c>
      <c r="B276">
        <v>0</v>
      </c>
      <c r="C276">
        <v>0</v>
      </c>
      <c r="D276">
        <v>0</v>
      </c>
      <c r="E276">
        <v>0</v>
      </c>
      <c r="F276">
        <v>0</v>
      </c>
      <c r="G276" s="40">
        <v>1.22</v>
      </c>
      <c r="H276" s="6">
        <v>0.1</v>
      </c>
      <c r="I276">
        <v>32787</v>
      </c>
      <c r="J276">
        <v>290</v>
      </c>
      <c r="K276" s="40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V276" s="40">
        <v>0</v>
      </c>
      <c r="W276">
        <v>0</v>
      </c>
      <c r="X276">
        <v>0</v>
      </c>
      <c r="Y276">
        <v>0</v>
      </c>
      <c r="Z276">
        <v>0</v>
      </c>
      <c r="AA276" s="40">
        <v>0</v>
      </c>
      <c r="AE276" s="40">
        <v>0</v>
      </c>
      <c r="AF276">
        <v>0</v>
      </c>
      <c r="AG276">
        <v>0</v>
      </c>
      <c r="AH276">
        <v>0</v>
      </c>
      <c r="AI276">
        <v>0</v>
      </c>
      <c r="AJ276">
        <v>0</v>
      </c>
    </row>
    <row r="277" spans="1:36" x14ac:dyDescent="0.3">
      <c r="A277" s="6" t="s">
        <v>169</v>
      </c>
      <c r="B277">
        <v>103</v>
      </c>
      <c r="C277">
        <v>4</v>
      </c>
      <c r="D277">
        <v>10.4</v>
      </c>
      <c r="E277">
        <v>2.2999999999999998</v>
      </c>
      <c r="F277">
        <v>1.9</v>
      </c>
      <c r="G277" s="40">
        <v>1.07</v>
      </c>
      <c r="H277" s="6">
        <v>74.540000000000006</v>
      </c>
      <c r="I277">
        <v>772</v>
      </c>
      <c r="J277">
        <v>302</v>
      </c>
      <c r="K277" s="40"/>
      <c r="V277" s="40"/>
      <c r="AA277" s="40"/>
      <c r="AE277" s="40"/>
    </row>
    <row r="278" spans="1:36" x14ac:dyDescent="0.3">
      <c r="A278" s="6" t="s">
        <v>516</v>
      </c>
      <c r="B278">
        <v>0</v>
      </c>
      <c r="C278">
        <v>0</v>
      </c>
      <c r="D278">
        <v>0</v>
      </c>
      <c r="E278">
        <v>0</v>
      </c>
      <c r="F278">
        <v>0</v>
      </c>
      <c r="G278" s="40">
        <v>1.2170000000000001</v>
      </c>
      <c r="H278" s="6">
        <v>13</v>
      </c>
      <c r="I278">
        <v>33000</v>
      </c>
      <c r="J278">
        <v>227</v>
      </c>
      <c r="K278" s="40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V278" s="40">
        <v>0</v>
      </c>
      <c r="W278">
        <v>0</v>
      </c>
      <c r="X278">
        <v>0</v>
      </c>
      <c r="Y278">
        <v>0</v>
      </c>
      <c r="Z278">
        <v>0</v>
      </c>
      <c r="AA278" s="40">
        <v>0</v>
      </c>
      <c r="AE278" s="40">
        <v>0</v>
      </c>
      <c r="AF278">
        <v>0</v>
      </c>
      <c r="AG278">
        <v>0</v>
      </c>
      <c r="AH278">
        <v>0</v>
      </c>
      <c r="AI278">
        <v>0</v>
      </c>
      <c r="AJ278">
        <v>0</v>
      </c>
    </row>
    <row r="279" spans="1:36" x14ac:dyDescent="0.3">
      <c r="A279" s="6" t="s">
        <v>283</v>
      </c>
      <c r="B279">
        <v>26</v>
      </c>
      <c r="C279">
        <v>9</v>
      </c>
      <c r="G279" s="40">
        <v>0.53790000000000004</v>
      </c>
      <c r="H279" s="6">
        <v>4.6900000000000004</v>
      </c>
      <c r="I279">
        <v>11</v>
      </c>
      <c r="J279">
        <v>468</v>
      </c>
      <c r="K279" s="40">
        <v>310</v>
      </c>
      <c r="L279">
        <v>100</v>
      </c>
      <c r="M279">
        <v>70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 s="40"/>
      <c r="AA279" s="40">
        <v>20.399999999999999</v>
      </c>
      <c r="AE279" s="40"/>
      <c r="AF279">
        <v>0</v>
      </c>
    </row>
    <row r="280" spans="1:36" x14ac:dyDescent="0.3">
      <c r="A280" s="6" t="s">
        <v>170</v>
      </c>
      <c r="B280">
        <v>14</v>
      </c>
      <c r="C280">
        <v>5</v>
      </c>
      <c r="G280" s="40">
        <v>0.76719999999999999</v>
      </c>
      <c r="H280" s="6">
        <v>76.099999999999994</v>
      </c>
      <c r="I280">
        <v>12</v>
      </c>
      <c r="J280">
        <v>334</v>
      </c>
      <c r="K280" s="40"/>
      <c r="V280" s="40"/>
      <c r="AA280" s="40">
        <v>2.5</v>
      </c>
      <c r="AC280">
        <v>217</v>
      </c>
      <c r="AE280" s="40"/>
      <c r="AF280">
        <v>8</v>
      </c>
    </row>
    <row r="281" spans="1:36" x14ac:dyDescent="0.3">
      <c r="A281" s="6" t="s">
        <v>171</v>
      </c>
      <c r="B281">
        <v>120</v>
      </c>
      <c r="C281">
        <v>21</v>
      </c>
      <c r="E281">
        <v>90</v>
      </c>
      <c r="G281" s="40">
        <v>0.57999999999999996</v>
      </c>
      <c r="H281" s="6">
        <v>77.2</v>
      </c>
      <c r="I281">
        <v>119</v>
      </c>
      <c r="J281">
        <v>264</v>
      </c>
      <c r="K281" s="40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 s="40">
        <v>0</v>
      </c>
      <c r="W281">
        <v>0</v>
      </c>
      <c r="X281">
        <v>0</v>
      </c>
      <c r="Y281">
        <v>0</v>
      </c>
      <c r="Z281">
        <v>0</v>
      </c>
      <c r="AA281" s="40">
        <v>20.100000000000001</v>
      </c>
      <c r="AB281">
        <v>1.3</v>
      </c>
      <c r="AE281" s="40"/>
    </row>
    <row r="282" spans="1:36" x14ac:dyDescent="0.3">
      <c r="A282" s="6" t="s">
        <v>284</v>
      </c>
      <c r="B282">
        <v>19</v>
      </c>
      <c r="C282">
        <v>19</v>
      </c>
      <c r="G282" s="40">
        <v>0.56599999999999995</v>
      </c>
      <c r="H282" s="6">
        <v>88.89</v>
      </c>
      <c r="I282">
        <v>106</v>
      </c>
      <c r="J282">
        <v>124</v>
      </c>
      <c r="K282" s="40"/>
      <c r="V282" s="40"/>
      <c r="AA282" s="40">
        <v>2.35</v>
      </c>
      <c r="AE282" s="40"/>
    </row>
    <row r="283" spans="1:36" x14ac:dyDescent="0.3">
      <c r="A283" s="6" t="s">
        <v>510</v>
      </c>
      <c r="B283">
        <v>0</v>
      </c>
      <c r="C283">
        <v>0</v>
      </c>
      <c r="D283">
        <v>0</v>
      </c>
      <c r="E283">
        <v>0</v>
      </c>
      <c r="F283">
        <v>0</v>
      </c>
      <c r="G283" s="40">
        <v>1.2</v>
      </c>
      <c r="H283" s="6">
        <v>1</v>
      </c>
      <c r="I283">
        <v>27360</v>
      </c>
      <c r="J283">
        <v>0</v>
      </c>
      <c r="K283" s="40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V283" s="40">
        <v>0</v>
      </c>
      <c r="W283">
        <v>0</v>
      </c>
      <c r="X283">
        <v>0</v>
      </c>
      <c r="Y283">
        <v>0</v>
      </c>
      <c r="Z283">
        <v>0</v>
      </c>
      <c r="AA283" s="40">
        <v>0</v>
      </c>
      <c r="AE283" s="40">
        <v>0</v>
      </c>
      <c r="AF283">
        <v>0</v>
      </c>
      <c r="AG283">
        <v>0</v>
      </c>
      <c r="AH283">
        <v>0</v>
      </c>
      <c r="AI283">
        <v>0</v>
      </c>
      <c r="AJ283">
        <v>0</v>
      </c>
    </row>
    <row r="284" spans="1:36" x14ac:dyDescent="0.3">
      <c r="A284" s="6" t="s">
        <v>506</v>
      </c>
      <c r="B284">
        <v>0</v>
      </c>
      <c r="C284">
        <v>0</v>
      </c>
      <c r="D284">
        <v>0</v>
      </c>
      <c r="E284">
        <v>0</v>
      </c>
      <c r="F284">
        <v>0</v>
      </c>
      <c r="G284" s="40">
        <v>1.2</v>
      </c>
      <c r="H284" s="6">
        <v>0</v>
      </c>
      <c r="I284">
        <v>39356</v>
      </c>
      <c r="J284">
        <v>0</v>
      </c>
      <c r="K284" s="40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V284" s="40">
        <v>0</v>
      </c>
      <c r="W284">
        <v>0</v>
      </c>
      <c r="X284">
        <v>0</v>
      </c>
      <c r="Y284">
        <v>0</v>
      </c>
      <c r="Z284">
        <v>0</v>
      </c>
      <c r="AA284" s="40">
        <v>0</v>
      </c>
      <c r="AE284" s="40">
        <v>0</v>
      </c>
      <c r="AF284">
        <v>0</v>
      </c>
      <c r="AG284">
        <v>0</v>
      </c>
      <c r="AH284">
        <v>0</v>
      </c>
      <c r="AI284">
        <v>0</v>
      </c>
      <c r="AJ284">
        <v>0</v>
      </c>
    </row>
    <row r="285" spans="1:36" x14ac:dyDescent="0.3">
      <c r="A285" s="6" t="s">
        <v>554</v>
      </c>
      <c r="B285">
        <v>0</v>
      </c>
      <c r="C285">
        <v>0</v>
      </c>
      <c r="D285">
        <v>0</v>
      </c>
      <c r="E285">
        <v>0</v>
      </c>
      <c r="F285">
        <v>0</v>
      </c>
      <c r="G285" s="40">
        <v>0.55000000000000004</v>
      </c>
      <c r="H285" s="6">
        <v>0.85</v>
      </c>
      <c r="I285">
        <v>0</v>
      </c>
      <c r="J285">
        <v>0</v>
      </c>
      <c r="K285" s="40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V285" s="40">
        <v>0</v>
      </c>
      <c r="W285">
        <v>99150</v>
      </c>
      <c r="X285">
        <v>0</v>
      </c>
      <c r="Y285">
        <v>0</v>
      </c>
      <c r="Z285">
        <v>0</v>
      </c>
      <c r="AA285" s="40">
        <v>0</v>
      </c>
      <c r="AB285">
        <v>0</v>
      </c>
      <c r="AC285">
        <v>0</v>
      </c>
      <c r="AE285" s="40">
        <v>0</v>
      </c>
      <c r="AF285">
        <v>0</v>
      </c>
      <c r="AG285">
        <v>0</v>
      </c>
      <c r="AH285">
        <v>0</v>
      </c>
      <c r="AI285">
        <v>0</v>
      </c>
      <c r="AJ285">
        <v>0</v>
      </c>
    </row>
    <row r="286" spans="1:36" x14ac:dyDescent="0.3">
      <c r="A286" s="6" t="s">
        <v>540</v>
      </c>
      <c r="B286">
        <v>0</v>
      </c>
      <c r="C286">
        <v>0</v>
      </c>
      <c r="D286">
        <v>0</v>
      </c>
      <c r="E286">
        <v>0</v>
      </c>
      <c r="F286">
        <v>0</v>
      </c>
      <c r="G286" s="40">
        <v>1.39</v>
      </c>
      <c r="H286" s="6">
        <v>22.7</v>
      </c>
      <c r="I286">
        <v>8</v>
      </c>
      <c r="J286">
        <v>1000</v>
      </c>
      <c r="K286" s="40">
        <v>64268</v>
      </c>
      <c r="L286">
        <v>3664</v>
      </c>
      <c r="M286">
        <v>2033</v>
      </c>
      <c r="N286">
        <v>0</v>
      </c>
      <c r="O286">
        <v>0</v>
      </c>
      <c r="P286">
        <v>0</v>
      </c>
      <c r="Q286">
        <v>0</v>
      </c>
      <c r="V286" s="40">
        <v>0</v>
      </c>
      <c r="W286">
        <v>0</v>
      </c>
      <c r="X286">
        <v>0</v>
      </c>
      <c r="Y286">
        <v>0</v>
      </c>
      <c r="Z286">
        <v>0</v>
      </c>
      <c r="AA286" s="40">
        <v>0.1</v>
      </c>
      <c r="AB286">
        <v>0</v>
      </c>
      <c r="AC286">
        <v>0</v>
      </c>
      <c r="AE286" s="40">
        <v>0</v>
      </c>
      <c r="AF286">
        <v>0</v>
      </c>
      <c r="AG286">
        <v>0</v>
      </c>
      <c r="AH286">
        <v>0</v>
      </c>
      <c r="AI286">
        <v>0</v>
      </c>
      <c r="AJ286">
        <v>0</v>
      </c>
    </row>
    <row r="287" spans="1:36" x14ac:dyDescent="0.3">
      <c r="A287" s="6" t="s">
        <v>172</v>
      </c>
      <c r="B287">
        <v>60</v>
      </c>
      <c r="G287" s="40">
        <v>0.11799999999999999</v>
      </c>
      <c r="H287" s="6">
        <v>91.4</v>
      </c>
      <c r="I287">
        <v>79</v>
      </c>
      <c r="J287">
        <v>558</v>
      </c>
      <c r="K287" s="40">
        <v>70</v>
      </c>
      <c r="L287">
        <v>110</v>
      </c>
      <c r="M287">
        <v>150</v>
      </c>
      <c r="N287">
        <v>0</v>
      </c>
      <c r="O287">
        <v>100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s="40"/>
      <c r="AA287" s="40">
        <v>2.86</v>
      </c>
      <c r="AB287">
        <v>12.29</v>
      </c>
      <c r="AE287" s="40"/>
      <c r="AF287">
        <v>28.1</v>
      </c>
    </row>
    <row r="288" spans="1:36" x14ac:dyDescent="0.3">
      <c r="A288" s="6" t="s">
        <v>409</v>
      </c>
      <c r="B288">
        <v>8400</v>
      </c>
      <c r="C288">
        <v>4980</v>
      </c>
      <c r="G288" s="40">
        <v>0.47</v>
      </c>
      <c r="H288" s="6">
        <v>4.68</v>
      </c>
      <c r="I288">
        <v>1050</v>
      </c>
      <c r="J288">
        <v>1360</v>
      </c>
      <c r="K288" s="40"/>
      <c r="V288" s="40"/>
      <c r="AA288" s="40">
        <v>57.5</v>
      </c>
      <c r="AE288" s="40"/>
      <c r="AF288">
        <v>10.1</v>
      </c>
    </row>
    <row r="289" spans="1:36" x14ac:dyDescent="0.3">
      <c r="A289" s="6" t="s">
        <v>173</v>
      </c>
      <c r="B289">
        <v>25</v>
      </c>
      <c r="C289">
        <v>13</v>
      </c>
      <c r="E289">
        <v>0.2</v>
      </c>
      <c r="G289" s="40">
        <v>1.07</v>
      </c>
      <c r="H289" s="6">
        <v>83.72</v>
      </c>
      <c r="I289">
        <v>44</v>
      </c>
      <c r="J289">
        <v>246</v>
      </c>
      <c r="K289" s="40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s="40">
        <v>0</v>
      </c>
      <c r="W289">
        <v>0</v>
      </c>
      <c r="X289">
        <v>0</v>
      </c>
      <c r="Y289">
        <v>0</v>
      </c>
      <c r="Z289">
        <v>0</v>
      </c>
      <c r="AA289" s="40">
        <v>15.58</v>
      </c>
      <c r="AE289" s="40"/>
      <c r="AF289">
        <v>4.7</v>
      </c>
    </row>
    <row r="290" spans="1:36" x14ac:dyDescent="0.3">
      <c r="A290" s="6" t="s">
        <v>174</v>
      </c>
      <c r="B290">
        <v>620</v>
      </c>
      <c r="C290">
        <v>366</v>
      </c>
      <c r="G290" s="40">
        <v>1.2</v>
      </c>
      <c r="H290" s="6">
        <v>28</v>
      </c>
      <c r="I290">
        <v>306</v>
      </c>
      <c r="J290">
        <v>279</v>
      </c>
      <c r="K290" s="40"/>
      <c r="V290" s="40"/>
      <c r="AA290" s="40">
        <v>17.899999999999999</v>
      </c>
      <c r="AE290" s="40"/>
    </row>
    <row r="291" spans="1:36" x14ac:dyDescent="0.3">
      <c r="A291" s="6" t="s">
        <v>175</v>
      </c>
      <c r="B291">
        <v>6</v>
      </c>
      <c r="C291">
        <v>2</v>
      </c>
      <c r="G291" s="40">
        <v>2.46E-2</v>
      </c>
      <c r="H291" s="6">
        <v>79.25</v>
      </c>
      <c r="I291">
        <v>7362.5</v>
      </c>
      <c r="J291">
        <v>270</v>
      </c>
      <c r="K291" s="40"/>
      <c r="V291" s="40"/>
      <c r="AA291" s="40">
        <v>5</v>
      </c>
      <c r="AE291" s="40"/>
    </row>
    <row r="292" spans="1:36" x14ac:dyDescent="0.3">
      <c r="A292" s="6" t="s">
        <v>276</v>
      </c>
      <c r="B292">
        <v>22.4</v>
      </c>
      <c r="G292" s="40">
        <v>0.60199999999999998</v>
      </c>
      <c r="H292" s="6">
        <v>90.95</v>
      </c>
      <c r="I292">
        <v>1</v>
      </c>
      <c r="J292">
        <v>153</v>
      </c>
      <c r="K292" s="40">
        <v>470</v>
      </c>
      <c r="L292">
        <v>1990</v>
      </c>
      <c r="M292">
        <v>2440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s="40"/>
      <c r="AA292" s="40">
        <v>0.67</v>
      </c>
      <c r="AB292">
        <v>7.1</v>
      </c>
      <c r="AE292" s="40"/>
      <c r="AF292">
        <v>58.8</v>
      </c>
    </row>
    <row r="293" spans="1:36" x14ac:dyDescent="0.3">
      <c r="A293" s="6" t="s">
        <v>494</v>
      </c>
      <c r="B293">
        <v>0</v>
      </c>
      <c r="C293">
        <v>0</v>
      </c>
      <c r="D293">
        <v>0</v>
      </c>
      <c r="E293">
        <v>0</v>
      </c>
      <c r="F293">
        <v>0</v>
      </c>
      <c r="G293" s="40">
        <v>1.59</v>
      </c>
      <c r="H293" s="6">
        <v>0.06</v>
      </c>
      <c r="I293">
        <v>0</v>
      </c>
      <c r="J293">
        <v>0</v>
      </c>
      <c r="K293" s="40">
        <v>99940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V293" s="40">
        <v>0</v>
      </c>
      <c r="W293">
        <v>0</v>
      </c>
      <c r="X293">
        <v>0</v>
      </c>
      <c r="Y293">
        <v>0</v>
      </c>
      <c r="Z293">
        <v>0</v>
      </c>
      <c r="AA293" s="40">
        <v>0</v>
      </c>
      <c r="AE293" s="40">
        <v>0</v>
      </c>
      <c r="AF293">
        <v>0</v>
      </c>
      <c r="AG293">
        <v>0</v>
      </c>
      <c r="AH293">
        <v>0</v>
      </c>
      <c r="AI293">
        <v>0</v>
      </c>
      <c r="AJ293">
        <v>0</v>
      </c>
    </row>
    <row r="294" spans="1:36" x14ac:dyDescent="0.3">
      <c r="A294" s="6" t="s">
        <v>489</v>
      </c>
      <c r="B294">
        <v>0</v>
      </c>
      <c r="C294">
        <v>0</v>
      </c>
      <c r="D294">
        <v>0</v>
      </c>
      <c r="E294">
        <v>0</v>
      </c>
      <c r="F294">
        <v>0</v>
      </c>
      <c r="G294" s="40">
        <v>1.59</v>
      </c>
      <c r="H294" s="6">
        <v>0.06</v>
      </c>
      <c r="I294">
        <v>0</v>
      </c>
      <c r="J294">
        <v>0</v>
      </c>
      <c r="K294" s="40">
        <v>99940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V294" s="40">
        <v>0</v>
      </c>
      <c r="W294">
        <v>0</v>
      </c>
      <c r="X294">
        <v>0</v>
      </c>
      <c r="Y294">
        <v>0</v>
      </c>
      <c r="Z294">
        <v>0</v>
      </c>
      <c r="AA294" s="40">
        <v>0</v>
      </c>
      <c r="AE294" s="40">
        <v>0</v>
      </c>
      <c r="AF294">
        <v>0</v>
      </c>
      <c r="AG294">
        <v>0</v>
      </c>
      <c r="AH294">
        <v>0</v>
      </c>
      <c r="AI294">
        <v>0</v>
      </c>
      <c r="AJ294">
        <v>0</v>
      </c>
    </row>
    <row r="295" spans="1:36" x14ac:dyDescent="0.3">
      <c r="A295" s="6" t="s">
        <v>487</v>
      </c>
      <c r="G295" s="40">
        <v>1.375</v>
      </c>
      <c r="H295" s="6">
        <v>22.4</v>
      </c>
      <c r="I295">
        <v>620</v>
      </c>
      <c r="J295">
        <v>2440</v>
      </c>
      <c r="K295" s="40">
        <v>60900</v>
      </c>
      <c r="L295">
        <v>280</v>
      </c>
      <c r="M295">
        <v>290</v>
      </c>
      <c r="N295">
        <v>0</v>
      </c>
      <c r="O295">
        <v>0</v>
      </c>
      <c r="P295">
        <v>0</v>
      </c>
      <c r="Q295">
        <v>0</v>
      </c>
      <c r="V295" s="40"/>
      <c r="AA295" s="40">
        <v>13.5</v>
      </c>
      <c r="AE295" s="40">
        <v>420</v>
      </c>
      <c r="AG295">
        <v>300</v>
      </c>
      <c r="AH295">
        <v>4510</v>
      </c>
      <c r="AI295">
        <v>80</v>
      </c>
    </row>
    <row r="296" spans="1:36" x14ac:dyDescent="0.3">
      <c r="A296" s="6" t="s">
        <v>488</v>
      </c>
      <c r="G296" s="40">
        <v>1.42</v>
      </c>
      <c r="H296" s="6">
        <v>23.2</v>
      </c>
      <c r="I296">
        <v>80</v>
      </c>
      <c r="J296">
        <v>1820</v>
      </c>
      <c r="K296" s="40">
        <v>48800</v>
      </c>
      <c r="L296">
        <v>5260</v>
      </c>
      <c r="M296">
        <v>8070</v>
      </c>
      <c r="N296">
        <v>0</v>
      </c>
      <c r="O296">
        <v>0</v>
      </c>
      <c r="P296">
        <v>0</v>
      </c>
      <c r="Q296">
        <v>0</v>
      </c>
      <c r="V296" s="40"/>
      <c r="AA296" s="40">
        <v>6.65</v>
      </c>
      <c r="AE296" s="40">
        <v>440</v>
      </c>
      <c r="AG296">
        <v>130</v>
      </c>
      <c r="AH296">
        <v>6100</v>
      </c>
      <c r="AI296">
        <v>100</v>
      </c>
    </row>
    <row r="297" spans="1:36" x14ac:dyDescent="0.3">
      <c r="A297" s="6" t="s">
        <v>247</v>
      </c>
      <c r="B297">
        <v>22.4</v>
      </c>
      <c r="G297" s="40">
        <v>0.71399999999999997</v>
      </c>
      <c r="H297" s="6">
        <v>15</v>
      </c>
      <c r="I297">
        <v>6</v>
      </c>
      <c r="J297">
        <v>107</v>
      </c>
      <c r="K297" s="40"/>
      <c r="V297" s="40"/>
      <c r="AA297" s="40"/>
      <c r="AE297" s="40"/>
    </row>
    <row r="298" spans="1:36" x14ac:dyDescent="0.3">
      <c r="A298" s="6" t="s">
        <v>277</v>
      </c>
      <c r="B298">
        <v>60</v>
      </c>
      <c r="C298">
        <v>46</v>
      </c>
      <c r="G298" s="40">
        <v>0.997</v>
      </c>
      <c r="H298" s="6">
        <v>77.3</v>
      </c>
      <c r="I298">
        <v>55</v>
      </c>
      <c r="J298">
        <v>337</v>
      </c>
      <c r="K298" s="40">
        <v>2520</v>
      </c>
      <c r="L298">
        <v>960</v>
      </c>
      <c r="M298">
        <v>700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 s="40"/>
      <c r="AA298" s="40">
        <v>1.57</v>
      </c>
      <c r="AB298">
        <v>0.12</v>
      </c>
      <c r="AE298" s="40"/>
      <c r="AF298">
        <v>2.4</v>
      </c>
    </row>
    <row r="299" spans="1:36" x14ac:dyDescent="0.3">
      <c r="A299" s="6" t="s">
        <v>507</v>
      </c>
      <c r="B299">
        <v>0</v>
      </c>
      <c r="C299">
        <v>0</v>
      </c>
      <c r="D299">
        <v>0</v>
      </c>
      <c r="E299">
        <v>0</v>
      </c>
      <c r="F299">
        <v>0</v>
      </c>
      <c r="G299" s="40">
        <v>1.2</v>
      </c>
      <c r="H299" s="6">
        <v>2.75</v>
      </c>
      <c r="I299">
        <v>38175</v>
      </c>
      <c r="J299">
        <v>0</v>
      </c>
      <c r="K299" s="40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V299" s="40">
        <v>0</v>
      </c>
      <c r="W299">
        <v>0</v>
      </c>
      <c r="X299">
        <v>0</v>
      </c>
      <c r="Y299">
        <v>0</v>
      </c>
      <c r="Z299">
        <v>0</v>
      </c>
      <c r="AA299" s="40">
        <v>0</v>
      </c>
      <c r="AE299" s="40">
        <v>0</v>
      </c>
      <c r="AF299">
        <v>0</v>
      </c>
      <c r="AG299">
        <v>0</v>
      </c>
      <c r="AH299">
        <v>0</v>
      </c>
      <c r="AI299">
        <v>0</v>
      </c>
      <c r="AJ299">
        <v>0</v>
      </c>
    </row>
    <row r="300" spans="1:36" x14ac:dyDescent="0.3">
      <c r="A300" s="6" t="s">
        <v>495</v>
      </c>
      <c r="B300">
        <v>0</v>
      </c>
      <c r="C300">
        <v>0</v>
      </c>
      <c r="D300">
        <v>0</v>
      </c>
      <c r="E300">
        <v>0</v>
      </c>
      <c r="F300">
        <v>0</v>
      </c>
      <c r="G300" s="40">
        <v>1.59</v>
      </c>
      <c r="H300" s="6">
        <v>0.06</v>
      </c>
      <c r="I300">
        <v>0</v>
      </c>
      <c r="J300">
        <v>0</v>
      </c>
      <c r="K300" s="40">
        <v>99940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V300" s="40">
        <v>0</v>
      </c>
      <c r="W300">
        <v>0</v>
      </c>
      <c r="X300">
        <v>0</v>
      </c>
      <c r="Y300">
        <v>0</v>
      </c>
      <c r="Z300">
        <v>0</v>
      </c>
      <c r="AA300" s="40">
        <v>0</v>
      </c>
      <c r="AE300" s="40">
        <v>0</v>
      </c>
      <c r="AF300">
        <v>0</v>
      </c>
      <c r="AG300">
        <v>0</v>
      </c>
      <c r="AH300">
        <v>0</v>
      </c>
      <c r="AI300">
        <v>0</v>
      </c>
      <c r="AJ300">
        <v>0</v>
      </c>
    </row>
    <row r="301" spans="1:36" x14ac:dyDescent="0.3">
      <c r="A301" s="6" t="s">
        <v>176</v>
      </c>
      <c r="B301">
        <v>474</v>
      </c>
      <c r="C301">
        <v>57</v>
      </c>
      <c r="G301" s="40">
        <v>0.82</v>
      </c>
      <c r="H301" s="6">
        <v>84</v>
      </c>
      <c r="I301">
        <v>5</v>
      </c>
      <c r="J301">
        <v>400</v>
      </c>
      <c r="K301" s="40"/>
      <c r="V301" s="40"/>
      <c r="AA301" s="40"/>
      <c r="AE301" s="40"/>
    </row>
    <row r="302" spans="1:36" x14ac:dyDescent="0.3">
      <c r="A302" s="6" t="s">
        <v>537</v>
      </c>
      <c r="B302">
        <v>0</v>
      </c>
      <c r="C302">
        <v>0</v>
      </c>
      <c r="D302">
        <v>0</v>
      </c>
      <c r="E302">
        <v>0</v>
      </c>
      <c r="F302">
        <v>0</v>
      </c>
      <c r="G302" s="40">
        <v>1.45</v>
      </c>
      <c r="H302" s="6">
        <v>7.16</v>
      </c>
      <c r="I302">
        <v>0</v>
      </c>
      <c r="J302">
        <v>0</v>
      </c>
      <c r="K302" s="40">
        <v>0</v>
      </c>
      <c r="L302">
        <v>5570</v>
      </c>
      <c r="M302">
        <v>0</v>
      </c>
      <c r="N302">
        <v>0</v>
      </c>
      <c r="O302">
        <v>0</v>
      </c>
      <c r="P302">
        <v>12069</v>
      </c>
      <c r="Q302">
        <v>10790</v>
      </c>
      <c r="V302" s="40">
        <v>0</v>
      </c>
      <c r="W302">
        <v>0</v>
      </c>
      <c r="X302">
        <v>0</v>
      </c>
      <c r="Y302">
        <v>0</v>
      </c>
      <c r="Z302">
        <v>0</v>
      </c>
      <c r="AA302" s="40">
        <v>0</v>
      </c>
      <c r="AB302">
        <v>0</v>
      </c>
      <c r="AC302">
        <v>0</v>
      </c>
      <c r="AE302" s="40">
        <v>0</v>
      </c>
      <c r="AF302">
        <v>0</v>
      </c>
      <c r="AG302">
        <v>0</v>
      </c>
      <c r="AH302">
        <v>0</v>
      </c>
      <c r="AI302">
        <v>0</v>
      </c>
      <c r="AJ302">
        <v>0</v>
      </c>
    </row>
    <row r="303" spans="1:36" x14ac:dyDescent="0.3">
      <c r="A303" s="6" t="s">
        <v>538</v>
      </c>
      <c r="B303">
        <v>0</v>
      </c>
      <c r="C303">
        <v>0</v>
      </c>
      <c r="D303">
        <v>0</v>
      </c>
      <c r="E303">
        <v>0</v>
      </c>
      <c r="F303">
        <v>0</v>
      </c>
      <c r="G303" s="40">
        <v>1.45</v>
      </c>
      <c r="H303" s="6">
        <v>7.16</v>
      </c>
      <c r="I303">
        <v>0</v>
      </c>
      <c r="J303">
        <v>0</v>
      </c>
      <c r="K303" s="40">
        <v>0</v>
      </c>
      <c r="L303">
        <v>12069</v>
      </c>
      <c r="M303">
        <v>0</v>
      </c>
      <c r="N303">
        <v>0</v>
      </c>
      <c r="O303">
        <v>0</v>
      </c>
      <c r="P303">
        <v>15783</v>
      </c>
      <c r="Q303">
        <v>9130</v>
      </c>
      <c r="V303" s="40">
        <v>0</v>
      </c>
      <c r="W303">
        <v>0</v>
      </c>
      <c r="X303">
        <v>0</v>
      </c>
      <c r="Y303">
        <v>0</v>
      </c>
      <c r="Z303">
        <v>0</v>
      </c>
      <c r="AA303" s="40">
        <v>0</v>
      </c>
      <c r="AB303">
        <v>0</v>
      </c>
      <c r="AC303">
        <v>0</v>
      </c>
      <c r="AE303" s="40">
        <v>0</v>
      </c>
      <c r="AF303">
        <v>0</v>
      </c>
      <c r="AG303">
        <v>0</v>
      </c>
      <c r="AH303">
        <v>0</v>
      </c>
      <c r="AI303">
        <v>0</v>
      </c>
      <c r="AJ303">
        <v>0</v>
      </c>
    </row>
    <row r="304" spans="1:36" x14ac:dyDescent="0.3">
      <c r="A304" s="6" t="s">
        <v>539</v>
      </c>
      <c r="B304">
        <v>0</v>
      </c>
      <c r="C304">
        <v>0</v>
      </c>
      <c r="D304">
        <v>0</v>
      </c>
      <c r="E304">
        <v>0</v>
      </c>
      <c r="F304">
        <v>0</v>
      </c>
      <c r="G304" s="40">
        <v>1.45</v>
      </c>
      <c r="H304" s="6">
        <v>7.16</v>
      </c>
      <c r="I304">
        <v>0</v>
      </c>
      <c r="J304">
        <v>0</v>
      </c>
      <c r="K304" s="40">
        <v>0</v>
      </c>
      <c r="L304">
        <v>28780</v>
      </c>
      <c r="M304">
        <v>0</v>
      </c>
      <c r="N304">
        <v>0</v>
      </c>
      <c r="O304">
        <v>0</v>
      </c>
      <c r="P304">
        <v>35279</v>
      </c>
      <c r="Q304">
        <v>4150</v>
      </c>
      <c r="V304" s="40">
        <v>0</v>
      </c>
      <c r="W304">
        <v>0</v>
      </c>
      <c r="X304">
        <v>0</v>
      </c>
      <c r="Y304">
        <v>0</v>
      </c>
      <c r="Z304">
        <v>0</v>
      </c>
      <c r="AA304" s="40">
        <v>0</v>
      </c>
      <c r="AB304">
        <v>0</v>
      </c>
      <c r="AC304">
        <v>0</v>
      </c>
      <c r="AE304" s="40">
        <v>0</v>
      </c>
      <c r="AF304">
        <v>0</v>
      </c>
      <c r="AG304">
        <v>0</v>
      </c>
      <c r="AH304">
        <v>0</v>
      </c>
      <c r="AI304">
        <v>0</v>
      </c>
      <c r="AJ304">
        <v>0</v>
      </c>
    </row>
    <row r="305" spans="1:32" x14ac:dyDescent="0.3">
      <c r="A305" s="6" t="s">
        <v>177</v>
      </c>
      <c r="B305">
        <v>17</v>
      </c>
      <c r="C305">
        <v>5</v>
      </c>
      <c r="G305" s="40">
        <v>0.56000000000000005</v>
      </c>
      <c r="H305" s="6">
        <v>91.6</v>
      </c>
      <c r="I305">
        <v>1</v>
      </c>
      <c r="J305">
        <v>268</v>
      </c>
      <c r="K305" s="40"/>
      <c r="V305" s="40"/>
      <c r="AA305" s="40">
        <v>0.96</v>
      </c>
      <c r="AE305" s="40"/>
      <c r="AF305">
        <v>11.7</v>
      </c>
    </row>
    <row r="306" spans="1:32" x14ac:dyDescent="0.3">
      <c r="A306" s="6" t="s">
        <v>278</v>
      </c>
      <c r="B306">
        <v>202</v>
      </c>
      <c r="G306" s="40">
        <v>1.02</v>
      </c>
      <c r="H306" s="6">
        <v>89.4</v>
      </c>
      <c r="I306">
        <v>186</v>
      </c>
      <c r="J306">
        <v>293</v>
      </c>
      <c r="K306" s="40">
        <v>20</v>
      </c>
      <c r="L306">
        <v>2030</v>
      </c>
      <c r="M306">
        <v>2340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 s="40"/>
      <c r="AA306" s="40">
        <v>1.64</v>
      </c>
      <c r="AE306" s="40"/>
      <c r="AF306">
        <v>9.1999999999999993</v>
      </c>
    </row>
    <row r="307" spans="1:32" x14ac:dyDescent="0.3">
      <c r="A307" s="6" t="s">
        <v>279</v>
      </c>
      <c r="B307">
        <v>895</v>
      </c>
      <c r="C307">
        <v>320</v>
      </c>
      <c r="F307">
        <v>10</v>
      </c>
      <c r="G307" s="40">
        <v>0.34</v>
      </c>
      <c r="H307" s="6">
        <v>4.3899999999999997</v>
      </c>
      <c r="I307">
        <v>107</v>
      </c>
      <c r="J307">
        <v>3430</v>
      </c>
      <c r="K307" s="40"/>
      <c r="V307" s="40"/>
      <c r="AA307" s="40">
        <v>14.1</v>
      </c>
      <c r="AE307" s="40"/>
      <c r="AF307">
        <v>39.200000000000003</v>
      </c>
    </row>
    <row r="308" spans="1:32" x14ac:dyDescent="0.3">
      <c r="A308" s="6" t="s">
        <v>442</v>
      </c>
      <c r="B308">
        <v>69</v>
      </c>
      <c r="C308">
        <v>22</v>
      </c>
      <c r="D308">
        <v>2.4</v>
      </c>
      <c r="F308">
        <v>0.33</v>
      </c>
      <c r="G308" s="40">
        <v>1.026</v>
      </c>
      <c r="H308" s="6">
        <v>94.9</v>
      </c>
      <c r="I308">
        <v>5</v>
      </c>
      <c r="J308">
        <v>237</v>
      </c>
      <c r="K308" s="40"/>
      <c r="V308" s="40"/>
      <c r="AA308" s="40">
        <v>0.88</v>
      </c>
      <c r="AB308">
        <v>5.07</v>
      </c>
      <c r="AE308" s="40"/>
      <c r="AF308">
        <v>13.7</v>
      </c>
    </row>
    <row r="309" spans="1:32" x14ac:dyDescent="0.3">
      <c r="A309" s="6" t="s">
        <v>443</v>
      </c>
      <c r="B309">
        <v>247</v>
      </c>
      <c r="C309">
        <v>28</v>
      </c>
      <c r="D309">
        <v>23.8</v>
      </c>
      <c r="F309">
        <v>1.82</v>
      </c>
      <c r="G309" s="40">
        <v>1.026</v>
      </c>
      <c r="H309" s="6">
        <v>94.9</v>
      </c>
      <c r="I309">
        <v>5</v>
      </c>
      <c r="J309">
        <v>237</v>
      </c>
      <c r="K309" s="40"/>
      <c r="V309" s="40"/>
      <c r="AA309" s="40">
        <v>0.88</v>
      </c>
      <c r="AB309">
        <v>5.07</v>
      </c>
      <c r="AE309" s="40"/>
    </row>
    <row r="310" spans="1:32" x14ac:dyDescent="0.3">
      <c r="A310" s="6" t="s">
        <v>424</v>
      </c>
      <c r="B310">
        <v>170</v>
      </c>
      <c r="C310">
        <v>60</v>
      </c>
      <c r="D310">
        <v>10.8</v>
      </c>
      <c r="F310">
        <v>1.1599999999999999</v>
      </c>
      <c r="G310" s="40">
        <v>1.026</v>
      </c>
      <c r="H310" s="6">
        <v>92.5</v>
      </c>
      <c r="I310">
        <v>6</v>
      </c>
      <c r="J310">
        <v>260</v>
      </c>
      <c r="K310" s="40"/>
      <c r="V310" s="40"/>
      <c r="AA310" s="40">
        <v>0.83</v>
      </c>
      <c r="AB310">
        <v>5.07</v>
      </c>
      <c r="AE310" s="40"/>
      <c r="AF310">
        <v>27.2</v>
      </c>
    </row>
    <row r="311" spans="1:32" x14ac:dyDescent="0.3">
      <c r="A311" s="6" t="s">
        <v>425</v>
      </c>
      <c r="B311">
        <v>566</v>
      </c>
      <c r="C311">
        <v>85</v>
      </c>
      <c r="D311">
        <v>36.5</v>
      </c>
      <c r="F311">
        <v>3.43</v>
      </c>
      <c r="G311" s="40">
        <v>1.026</v>
      </c>
      <c r="H311" s="6">
        <v>92.5</v>
      </c>
      <c r="I311">
        <v>6</v>
      </c>
      <c r="J311">
        <v>260</v>
      </c>
      <c r="K311" s="40"/>
      <c r="V311" s="40"/>
      <c r="AA311" s="40">
        <v>0.83</v>
      </c>
      <c r="AB311">
        <v>5.07</v>
      </c>
      <c r="AE311" s="40"/>
      <c r="AF311">
        <v>27.2</v>
      </c>
    </row>
    <row r="312" spans="1:32" x14ac:dyDescent="0.3">
      <c r="A312" s="6" t="s">
        <v>426</v>
      </c>
      <c r="B312">
        <v>66</v>
      </c>
      <c r="C312">
        <v>26</v>
      </c>
      <c r="D312">
        <v>12.6</v>
      </c>
      <c r="F312">
        <v>1.52</v>
      </c>
      <c r="G312" s="40">
        <v>1.026</v>
      </c>
      <c r="H312" s="6">
        <v>92.5</v>
      </c>
      <c r="I312">
        <v>6</v>
      </c>
      <c r="J312">
        <v>260</v>
      </c>
      <c r="K312" s="40"/>
      <c r="V312" s="40"/>
      <c r="AA312" s="40">
        <v>0.83</v>
      </c>
      <c r="AB312">
        <v>5.07</v>
      </c>
      <c r="AE312" s="40"/>
      <c r="AF312">
        <v>27.2</v>
      </c>
    </row>
    <row r="313" spans="1:32" x14ac:dyDescent="0.3">
      <c r="A313" s="6" t="s">
        <v>427</v>
      </c>
      <c r="B313">
        <v>380</v>
      </c>
      <c r="C313">
        <v>91</v>
      </c>
      <c r="D313">
        <v>28.4</v>
      </c>
      <c r="F313">
        <v>2.46</v>
      </c>
      <c r="G313" s="40">
        <v>1.026</v>
      </c>
      <c r="H313" s="6">
        <v>92.5</v>
      </c>
      <c r="I313">
        <v>6</v>
      </c>
      <c r="J313">
        <v>260</v>
      </c>
      <c r="K313" s="40"/>
      <c r="V313" s="40"/>
      <c r="AA313" s="40">
        <v>0.83</v>
      </c>
      <c r="AB313">
        <v>5.07</v>
      </c>
      <c r="AE313" s="40"/>
      <c r="AF313">
        <v>27.2</v>
      </c>
    </row>
    <row r="314" spans="1:32" x14ac:dyDescent="0.3">
      <c r="A314" s="6" t="s">
        <v>423</v>
      </c>
      <c r="B314">
        <v>109</v>
      </c>
      <c r="C314">
        <v>30</v>
      </c>
      <c r="G314" s="40">
        <v>1.026</v>
      </c>
      <c r="H314" s="6">
        <v>92.5</v>
      </c>
      <c r="I314">
        <v>6</v>
      </c>
      <c r="J314">
        <v>260</v>
      </c>
      <c r="K314" s="40"/>
      <c r="V314" s="40"/>
      <c r="AA314" s="40">
        <v>0.83</v>
      </c>
      <c r="AB314">
        <v>5.07</v>
      </c>
      <c r="AE314" s="40"/>
      <c r="AF314">
        <v>27.2</v>
      </c>
    </row>
    <row r="315" spans="1:32" x14ac:dyDescent="0.3">
      <c r="A315" s="6" t="s">
        <v>428</v>
      </c>
      <c r="B315">
        <v>351</v>
      </c>
      <c r="C315">
        <v>122</v>
      </c>
      <c r="D315">
        <v>14.6</v>
      </c>
      <c r="F315">
        <v>1.58</v>
      </c>
      <c r="G315" s="40">
        <v>1.026</v>
      </c>
      <c r="H315" s="6">
        <v>92.5</v>
      </c>
      <c r="I315">
        <v>6</v>
      </c>
      <c r="J315">
        <v>260</v>
      </c>
      <c r="K315" s="40"/>
      <c r="V315" s="40"/>
      <c r="AA315" s="40">
        <v>0.83</v>
      </c>
      <c r="AB315">
        <v>5.07</v>
      </c>
      <c r="AE315" s="40"/>
      <c r="AF315">
        <v>27.2</v>
      </c>
    </row>
    <row r="316" spans="1:32" x14ac:dyDescent="0.3">
      <c r="A316" s="6" t="s">
        <v>429</v>
      </c>
      <c r="B316">
        <v>1650</v>
      </c>
      <c r="C316">
        <v>182</v>
      </c>
      <c r="D316">
        <v>56.1</v>
      </c>
      <c r="F316">
        <v>3.79</v>
      </c>
      <c r="G316" s="40">
        <v>1.026</v>
      </c>
      <c r="H316" s="6">
        <v>92.5</v>
      </c>
      <c r="I316">
        <v>6</v>
      </c>
      <c r="J316">
        <v>260</v>
      </c>
      <c r="K316" s="40"/>
      <c r="V316" s="40"/>
      <c r="AA316" s="40">
        <v>0.83</v>
      </c>
      <c r="AB316">
        <v>5.07</v>
      </c>
      <c r="AE316" s="40"/>
      <c r="AF316">
        <v>27.2</v>
      </c>
    </row>
    <row r="317" spans="1:32" x14ac:dyDescent="0.3">
      <c r="A317" s="6" t="s">
        <v>432</v>
      </c>
      <c r="B317">
        <v>98</v>
      </c>
      <c r="C317">
        <v>31</v>
      </c>
      <c r="D317">
        <v>12.8</v>
      </c>
      <c r="F317">
        <v>1.54</v>
      </c>
      <c r="G317" s="40">
        <v>1.026</v>
      </c>
      <c r="H317" s="6">
        <v>92.5</v>
      </c>
      <c r="I317">
        <v>6</v>
      </c>
      <c r="J317">
        <v>260</v>
      </c>
      <c r="K317" s="40"/>
      <c r="V317" s="40"/>
      <c r="AA317" s="40">
        <v>0.83</v>
      </c>
      <c r="AB317">
        <v>5.07</v>
      </c>
      <c r="AE317" s="40"/>
      <c r="AF317">
        <v>27.2</v>
      </c>
    </row>
    <row r="318" spans="1:32" x14ac:dyDescent="0.3">
      <c r="A318" s="6" t="s">
        <v>433</v>
      </c>
      <c r="B318">
        <v>530</v>
      </c>
      <c r="C318">
        <v>44</v>
      </c>
      <c r="D318">
        <v>23.8</v>
      </c>
      <c r="F318">
        <v>2.35</v>
      </c>
      <c r="G318" s="40">
        <v>1.026</v>
      </c>
      <c r="H318" s="6">
        <v>92.5</v>
      </c>
      <c r="I318">
        <v>6</v>
      </c>
      <c r="J318">
        <v>260</v>
      </c>
      <c r="K318" s="40"/>
      <c r="V318" s="40"/>
      <c r="AA318" s="40">
        <v>0.83</v>
      </c>
      <c r="AB318">
        <v>5.07</v>
      </c>
      <c r="AE318" s="40"/>
      <c r="AF318">
        <v>27.2</v>
      </c>
    </row>
    <row r="319" spans="1:32" x14ac:dyDescent="0.3">
      <c r="A319" s="6" t="s">
        <v>430</v>
      </c>
      <c r="B319">
        <v>114</v>
      </c>
      <c r="C319">
        <v>34</v>
      </c>
      <c r="D319">
        <v>19.7</v>
      </c>
      <c r="F319">
        <v>2.3199999999999998</v>
      </c>
      <c r="G319" s="40">
        <v>1.026</v>
      </c>
      <c r="H319" s="6">
        <v>92.5</v>
      </c>
      <c r="I319">
        <v>6</v>
      </c>
      <c r="J319">
        <v>260</v>
      </c>
      <c r="K319" s="40"/>
      <c r="V319" s="40"/>
      <c r="AA319" s="40">
        <v>0.83</v>
      </c>
      <c r="AB319">
        <v>5.07</v>
      </c>
      <c r="AE319" s="40"/>
      <c r="AF319">
        <v>27.2</v>
      </c>
    </row>
    <row r="320" spans="1:32" x14ac:dyDescent="0.3">
      <c r="A320" s="6" t="s">
        <v>431</v>
      </c>
      <c r="B320">
        <v>606</v>
      </c>
      <c r="C320">
        <v>59</v>
      </c>
      <c r="D320">
        <v>31.7</v>
      </c>
      <c r="F320">
        <v>2.79</v>
      </c>
      <c r="G320" s="40">
        <v>1.026</v>
      </c>
      <c r="H320" s="6">
        <v>92.5</v>
      </c>
      <c r="I320">
        <v>6</v>
      </c>
      <c r="J320">
        <v>260</v>
      </c>
      <c r="K320" s="40"/>
      <c r="V320" s="40"/>
      <c r="AA320" s="40">
        <v>0.83</v>
      </c>
      <c r="AB320">
        <v>5.07</v>
      </c>
      <c r="AE320" s="40"/>
      <c r="AF320">
        <v>27.2</v>
      </c>
    </row>
    <row r="321" spans="1:32" x14ac:dyDescent="0.3">
      <c r="A321" s="6" t="s">
        <v>434</v>
      </c>
      <c r="B321">
        <v>157</v>
      </c>
      <c r="C321">
        <v>64</v>
      </c>
      <c r="D321">
        <v>10.6</v>
      </c>
      <c r="F321">
        <v>0.95</v>
      </c>
      <c r="G321" s="40">
        <v>1.026</v>
      </c>
      <c r="H321" s="6">
        <v>92.5</v>
      </c>
      <c r="I321">
        <v>6</v>
      </c>
      <c r="J321">
        <v>260</v>
      </c>
      <c r="K321" s="40"/>
      <c r="V321" s="40"/>
      <c r="AA321" s="40">
        <v>0.83</v>
      </c>
      <c r="AB321">
        <v>5.07</v>
      </c>
      <c r="AE321" s="40"/>
      <c r="AF321">
        <v>27.2</v>
      </c>
    </row>
    <row r="322" spans="1:32" x14ac:dyDescent="0.3">
      <c r="A322" s="6" t="s">
        <v>435</v>
      </c>
      <c r="B322">
        <v>418</v>
      </c>
      <c r="C322">
        <v>38</v>
      </c>
      <c r="D322">
        <v>52.1</v>
      </c>
      <c r="F322">
        <v>3.76</v>
      </c>
      <c r="G322" s="40">
        <v>1.026</v>
      </c>
      <c r="H322" s="6">
        <v>92.5</v>
      </c>
      <c r="I322">
        <v>6</v>
      </c>
      <c r="J322">
        <v>260</v>
      </c>
      <c r="K322" s="40"/>
      <c r="V322" s="40"/>
      <c r="AA322" s="40">
        <v>0.83</v>
      </c>
      <c r="AB322">
        <v>5.07</v>
      </c>
      <c r="AE322" s="40"/>
      <c r="AF322">
        <v>27.2</v>
      </c>
    </row>
    <row r="323" spans="1:32" x14ac:dyDescent="0.3">
      <c r="A323" s="6" t="s">
        <v>452</v>
      </c>
      <c r="B323">
        <v>26</v>
      </c>
      <c r="C323">
        <v>25</v>
      </c>
      <c r="G323" s="40">
        <v>1.026</v>
      </c>
      <c r="H323" s="6">
        <v>93</v>
      </c>
      <c r="I323">
        <v>13</v>
      </c>
      <c r="J323">
        <v>204</v>
      </c>
      <c r="K323" s="40"/>
      <c r="V323" s="40"/>
      <c r="AA323" s="40">
        <v>1.2</v>
      </c>
      <c r="AB323">
        <v>5.07</v>
      </c>
      <c r="AE323" s="40"/>
      <c r="AF323">
        <v>23.4</v>
      </c>
    </row>
    <row r="324" spans="1:32" x14ac:dyDescent="0.3">
      <c r="A324" s="6" t="s">
        <v>436</v>
      </c>
      <c r="B324">
        <v>170</v>
      </c>
      <c r="C324">
        <v>42</v>
      </c>
      <c r="D324">
        <v>5.7</v>
      </c>
      <c r="F324">
        <v>0.61</v>
      </c>
      <c r="G324" s="40">
        <v>1.026</v>
      </c>
      <c r="H324" s="6">
        <v>94.9</v>
      </c>
      <c r="I324">
        <v>5</v>
      </c>
      <c r="J324">
        <v>237</v>
      </c>
      <c r="K324" s="40"/>
      <c r="V324" s="40"/>
      <c r="AA324" s="40"/>
      <c r="AB324">
        <v>5.07</v>
      </c>
      <c r="AE324" s="40"/>
    </row>
    <row r="325" spans="1:32" x14ac:dyDescent="0.3">
      <c r="A325" s="6" t="s">
        <v>437</v>
      </c>
      <c r="B325">
        <v>283</v>
      </c>
      <c r="C325">
        <v>46</v>
      </c>
      <c r="D325">
        <v>25.1</v>
      </c>
      <c r="F325">
        <v>1.31</v>
      </c>
      <c r="G325" s="40">
        <v>1.026</v>
      </c>
      <c r="H325" s="6">
        <v>94.9</v>
      </c>
      <c r="I325">
        <v>5</v>
      </c>
      <c r="J325">
        <v>237</v>
      </c>
      <c r="K325" s="40"/>
      <c r="V325" s="40"/>
      <c r="AA325" s="40"/>
      <c r="AB325">
        <v>5.07</v>
      </c>
      <c r="AE325" s="40"/>
    </row>
    <row r="326" spans="1:32" x14ac:dyDescent="0.3">
      <c r="A326" s="6" t="s">
        <v>438</v>
      </c>
      <c r="B326">
        <v>178</v>
      </c>
      <c r="C326">
        <v>72</v>
      </c>
      <c r="D326">
        <v>9.4</v>
      </c>
      <c r="F326">
        <v>0.93</v>
      </c>
      <c r="G326" s="40">
        <v>1.026</v>
      </c>
      <c r="H326" s="6">
        <v>94.9</v>
      </c>
      <c r="I326">
        <v>5</v>
      </c>
      <c r="J326">
        <v>237</v>
      </c>
      <c r="K326" s="40"/>
      <c r="V326" s="40"/>
      <c r="AA326" s="40"/>
      <c r="AB326">
        <v>5.07</v>
      </c>
      <c r="AE326" s="40"/>
    </row>
    <row r="327" spans="1:32" x14ac:dyDescent="0.3">
      <c r="A327" s="6" t="s">
        <v>439</v>
      </c>
      <c r="B327">
        <v>478</v>
      </c>
      <c r="C327">
        <v>94</v>
      </c>
      <c r="D327">
        <v>21.3</v>
      </c>
      <c r="F327">
        <v>1.28</v>
      </c>
      <c r="G327" s="40">
        <v>1.026</v>
      </c>
      <c r="H327" s="6">
        <v>94.9</v>
      </c>
      <c r="I327">
        <v>5</v>
      </c>
      <c r="J327">
        <v>237</v>
      </c>
      <c r="K327" s="40"/>
      <c r="V327" s="40"/>
      <c r="AA327" s="40"/>
      <c r="AB327">
        <v>5.07</v>
      </c>
      <c r="AE327" s="40"/>
    </row>
    <row r="328" spans="1:32" x14ac:dyDescent="0.3">
      <c r="A328" s="6" t="s">
        <v>440</v>
      </c>
      <c r="B328">
        <v>123</v>
      </c>
      <c r="C328">
        <v>35</v>
      </c>
      <c r="D328">
        <v>14.1</v>
      </c>
      <c r="F328">
        <v>1.32</v>
      </c>
      <c r="G328" s="40">
        <v>1.026</v>
      </c>
      <c r="H328" s="6">
        <v>94.9</v>
      </c>
      <c r="I328">
        <v>5</v>
      </c>
      <c r="J328">
        <v>237</v>
      </c>
      <c r="K328" s="40"/>
      <c r="V328" s="40"/>
      <c r="AA328" s="40"/>
      <c r="AB328">
        <v>5.07</v>
      </c>
      <c r="AE328" s="40"/>
    </row>
    <row r="329" spans="1:32" x14ac:dyDescent="0.3">
      <c r="A329" s="6" t="s">
        <v>441</v>
      </c>
      <c r="B329">
        <v>825</v>
      </c>
      <c r="C329">
        <v>54</v>
      </c>
      <c r="D329">
        <v>28.8</v>
      </c>
      <c r="F329">
        <v>1.32</v>
      </c>
      <c r="G329" s="40">
        <v>1.026</v>
      </c>
      <c r="H329" s="6">
        <v>94.9</v>
      </c>
      <c r="I329">
        <v>5</v>
      </c>
      <c r="J329">
        <v>237</v>
      </c>
      <c r="K329" s="40"/>
      <c r="V329" s="40"/>
      <c r="AA329" s="40"/>
      <c r="AB329">
        <v>5.07</v>
      </c>
      <c r="AE329" s="40"/>
    </row>
    <row r="330" spans="1:32" x14ac:dyDescent="0.3">
      <c r="A330" s="6" t="s">
        <v>417</v>
      </c>
      <c r="B330">
        <v>125</v>
      </c>
      <c r="C330">
        <v>24</v>
      </c>
      <c r="D330">
        <v>6.5</v>
      </c>
      <c r="F330">
        <v>0.63</v>
      </c>
      <c r="G330" s="40">
        <v>1.026</v>
      </c>
      <c r="H330" s="6">
        <v>94.9</v>
      </c>
      <c r="I330">
        <v>6</v>
      </c>
      <c r="J330">
        <v>260</v>
      </c>
      <c r="K330" s="40"/>
      <c r="V330" s="40"/>
      <c r="AA330" s="40"/>
      <c r="AB330">
        <v>5.07</v>
      </c>
      <c r="AE330" s="40"/>
    </row>
    <row r="331" spans="1:32" x14ac:dyDescent="0.3">
      <c r="A331" s="6" t="s">
        <v>418</v>
      </c>
      <c r="B331">
        <v>400</v>
      </c>
      <c r="C331">
        <v>22</v>
      </c>
      <c r="D331">
        <v>26.8</v>
      </c>
      <c r="F331">
        <v>1.62</v>
      </c>
      <c r="G331" s="40">
        <v>1.026</v>
      </c>
      <c r="H331" s="6">
        <v>94.9</v>
      </c>
      <c r="I331">
        <v>6</v>
      </c>
      <c r="J331">
        <v>260</v>
      </c>
      <c r="K331" s="40"/>
      <c r="V331" s="40"/>
      <c r="AA331" s="40"/>
      <c r="AB331">
        <v>5.07</v>
      </c>
      <c r="AE331" s="40"/>
    </row>
    <row r="332" spans="1:32" x14ac:dyDescent="0.3">
      <c r="A332" s="6" t="s">
        <v>419</v>
      </c>
      <c r="B332">
        <v>88</v>
      </c>
      <c r="C332">
        <v>25</v>
      </c>
      <c r="D332">
        <v>3.8</v>
      </c>
      <c r="F332">
        <v>0.27</v>
      </c>
      <c r="G332" s="40">
        <v>1.026</v>
      </c>
      <c r="H332" s="6">
        <v>94.9</v>
      </c>
      <c r="I332">
        <v>6</v>
      </c>
      <c r="J332">
        <v>260</v>
      </c>
      <c r="K332" s="40"/>
      <c r="V332" s="40"/>
      <c r="AA332" s="40"/>
      <c r="AB332">
        <v>5.07</v>
      </c>
      <c r="AE332" s="40"/>
    </row>
    <row r="333" spans="1:32" x14ac:dyDescent="0.3">
      <c r="A333" s="6" t="s">
        <v>420</v>
      </c>
      <c r="B333">
        <v>559</v>
      </c>
      <c r="C333">
        <v>40</v>
      </c>
      <c r="D333">
        <v>43.7</v>
      </c>
      <c r="F333">
        <v>2.48</v>
      </c>
      <c r="G333" s="40">
        <v>1.026</v>
      </c>
      <c r="H333" s="6">
        <v>94.9</v>
      </c>
      <c r="I333">
        <v>6</v>
      </c>
      <c r="J333">
        <v>260</v>
      </c>
      <c r="K333" s="40"/>
      <c r="V333" s="40"/>
      <c r="AA333" s="40"/>
      <c r="AB333">
        <v>5.07</v>
      </c>
      <c r="AE333" s="40"/>
    </row>
    <row r="334" spans="1:32" x14ac:dyDescent="0.3">
      <c r="A334" s="6" t="s">
        <v>421</v>
      </c>
      <c r="B334">
        <v>132</v>
      </c>
      <c r="C334">
        <v>30</v>
      </c>
      <c r="D334">
        <v>10.1</v>
      </c>
      <c r="F334">
        <v>0.82</v>
      </c>
      <c r="G334" s="40">
        <v>1.026</v>
      </c>
      <c r="H334" s="6">
        <v>94.9</v>
      </c>
      <c r="I334">
        <v>6</v>
      </c>
      <c r="J334">
        <v>260</v>
      </c>
      <c r="K334" s="40"/>
      <c r="V334" s="40"/>
      <c r="AA334" s="40"/>
      <c r="AB334">
        <v>5.07</v>
      </c>
      <c r="AE334" s="40"/>
    </row>
    <row r="335" spans="1:32" x14ac:dyDescent="0.3">
      <c r="A335" s="6" t="s">
        <v>422</v>
      </c>
      <c r="B335">
        <v>263</v>
      </c>
      <c r="C335">
        <v>38</v>
      </c>
      <c r="D335">
        <v>25.2</v>
      </c>
      <c r="F335">
        <v>1.6</v>
      </c>
      <c r="G335" s="40">
        <v>1.026</v>
      </c>
      <c r="H335" s="6">
        <v>94.9</v>
      </c>
      <c r="I335">
        <v>6</v>
      </c>
      <c r="J335">
        <v>260</v>
      </c>
      <c r="K335" s="40"/>
      <c r="V335" s="40"/>
      <c r="AA335" s="40"/>
      <c r="AB335">
        <v>5.07</v>
      </c>
      <c r="AE335" s="40"/>
    </row>
    <row r="336" spans="1:32" x14ac:dyDescent="0.3">
      <c r="A336" s="6" t="s">
        <v>415</v>
      </c>
      <c r="B336">
        <v>121</v>
      </c>
      <c r="C336">
        <v>57</v>
      </c>
      <c r="D336">
        <v>5.5</v>
      </c>
      <c r="F336">
        <v>0.67</v>
      </c>
      <c r="G336" s="40">
        <v>1.026</v>
      </c>
      <c r="H336" s="6">
        <v>94.9</v>
      </c>
      <c r="I336">
        <v>6</v>
      </c>
      <c r="J336">
        <v>260</v>
      </c>
      <c r="K336" s="40"/>
      <c r="V336" s="40"/>
      <c r="AA336" s="40"/>
      <c r="AB336">
        <v>5.07</v>
      </c>
      <c r="AE336" s="40"/>
    </row>
    <row r="337" spans="1:36" x14ac:dyDescent="0.3">
      <c r="A337" s="6" t="s">
        <v>416</v>
      </c>
      <c r="B337">
        <v>203</v>
      </c>
      <c r="C337">
        <v>28</v>
      </c>
      <c r="D337">
        <v>28.2</v>
      </c>
      <c r="F337">
        <v>1.88</v>
      </c>
      <c r="G337" s="40">
        <v>1.026</v>
      </c>
      <c r="H337" s="6">
        <v>94.9</v>
      </c>
      <c r="I337">
        <v>6</v>
      </c>
      <c r="J337">
        <v>260</v>
      </c>
      <c r="K337" s="40"/>
      <c r="V337" s="40"/>
      <c r="AA337" s="40"/>
      <c r="AB337">
        <v>5.07</v>
      </c>
      <c r="AE337" s="40"/>
    </row>
    <row r="338" spans="1:36" x14ac:dyDescent="0.3">
      <c r="A338" s="6" t="s">
        <v>444</v>
      </c>
      <c r="B338">
        <v>126</v>
      </c>
      <c r="C338">
        <v>41</v>
      </c>
      <c r="D338">
        <v>8</v>
      </c>
      <c r="F338">
        <v>0.85</v>
      </c>
      <c r="G338" s="40">
        <v>1.026</v>
      </c>
      <c r="H338" s="6">
        <v>94.5</v>
      </c>
      <c r="I338">
        <v>5</v>
      </c>
      <c r="J338">
        <v>237</v>
      </c>
      <c r="K338" s="40">
        <v>0</v>
      </c>
      <c r="L338">
        <v>1250</v>
      </c>
      <c r="M338">
        <v>1370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s="40"/>
      <c r="AA338" s="40">
        <v>0.88</v>
      </c>
      <c r="AB338">
        <v>5.07</v>
      </c>
      <c r="AE338" s="40"/>
      <c r="AF338">
        <v>13.7</v>
      </c>
    </row>
    <row r="339" spans="1:36" x14ac:dyDescent="0.3">
      <c r="A339" s="6" t="s">
        <v>450</v>
      </c>
      <c r="B339">
        <v>292</v>
      </c>
      <c r="C339">
        <v>76</v>
      </c>
      <c r="G339" s="40">
        <v>1.026</v>
      </c>
      <c r="H339" s="6">
        <v>94.5</v>
      </c>
      <c r="I339">
        <v>5</v>
      </c>
      <c r="J339">
        <v>237</v>
      </c>
      <c r="K339" s="40">
        <v>0</v>
      </c>
      <c r="L339">
        <v>1250</v>
      </c>
      <c r="M339">
        <v>1370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 s="40"/>
      <c r="AA339" s="40">
        <v>0.88</v>
      </c>
      <c r="AB339">
        <v>5.07</v>
      </c>
      <c r="AE339" s="40"/>
      <c r="AF339">
        <v>13.7</v>
      </c>
    </row>
    <row r="340" spans="1:36" x14ac:dyDescent="0.3">
      <c r="A340" s="6" t="s">
        <v>445</v>
      </c>
      <c r="B340">
        <v>456</v>
      </c>
      <c r="C340">
        <v>52</v>
      </c>
      <c r="D340">
        <v>29.5</v>
      </c>
      <c r="F340">
        <v>2.0299999999999998</v>
      </c>
      <c r="G340" s="40">
        <v>1.026</v>
      </c>
      <c r="H340" s="6">
        <v>94.5</v>
      </c>
      <c r="I340">
        <v>5</v>
      </c>
      <c r="J340">
        <v>237</v>
      </c>
      <c r="K340" s="40">
        <v>0</v>
      </c>
      <c r="L340">
        <v>1250</v>
      </c>
      <c r="M340">
        <v>1370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 s="40"/>
      <c r="AA340" s="40">
        <v>0.88</v>
      </c>
      <c r="AB340">
        <v>5.07</v>
      </c>
      <c r="AE340" s="40"/>
      <c r="AF340">
        <v>13.7</v>
      </c>
    </row>
    <row r="341" spans="1:36" x14ac:dyDescent="0.3">
      <c r="A341" s="6" t="s">
        <v>451</v>
      </c>
      <c r="B341">
        <v>253</v>
      </c>
      <c r="G341" s="40">
        <v>1.026</v>
      </c>
      <c r="H341" s="6">
        <v>95.3</v>
      </c>
      <c r="I341">
        <v>23</v>
      </c>
      <c r="J341">
        <v>258</v>
      </c>
      <c r="K341" s="40"/>
      <c r="V341" s="40"/>
      <c r="AA341" s="40">
        <v>0.98</v>
      </c>
      <c r="AB341">
        <v>5.07</v>
      </c>
      <c r="AE341" s="40"/>
      <c r="AF341">
        <v>9</v>
      </c>
    </row>
    <row r="342" spans="1:36" x14ac:dyDescent="0.3">
      <c r="A342" s="6" t="s">
        <v>536</v>
      </c>
      <c r="B342">
        <v>0</v>
      </c>
      <c r="C342">
        <v>0</v>
      </c>
      <c r="D342">
        <v>0</v>
      </c>
      <c r="E342">
        <v>0</v>
      </c>
      <c r="F342">
        <v>0</v>
      </c>
      <c r="G342" s="40">
        <v>2.1989999999999998</v>
      </c>
      <c r="H342" s="6">
        <v>25.9</v>
      </c>
      <c r="I342">
        <v>57</v>
      </c>
      <c r="J342">
        <v>370</v>
      </c>
      <c r="K342" s="40">
        <v>35100</v>
      </c>
      <c r="L342">
        <v>11500</v>
      </c>
      <c r="M342">
        <v>12900</v>
      </c>
      <c r="N342">
        <v>0</v>
      </c>
      <c r="O342">
        <v>0</v>
      </c>
      <c r="P342">
        <v>0</v>
      </c>
      <c r="Q342">
        <v>0</v>
      </c>
      <c r="V342" s="40">
        <v>0</v>
      </c>
      <c r="W342">
        <v>0</v>
      </c>
      <c r="X342">
        <v>0</v>
      </c>
      <c r="Y342">
        <v>0</v>
      </c>
      <c r="Z342">
        <v>0</v>
      </c>
      <c r="AA342" s="40">
        <v>0</v>
      </c>
      <c r="AB342">
        <v>0</v>
      </c>
      <c r="AC342">
        <v>0</v>
      </c>
      <c r="AE342" s="40">
        <v>0</v>
      </c>
      <c r="AF342">
        <v>0</v>
      </c>
      <c r="AG342">
        <v>0</v>
      </c>
      <c r="AH342">
        <v>0</v>
      </c>
      <c r="AI342">
        <v>0</v>
      </c>
      <c r="AJ342">
        <v>0</v>
      </c>
    </row>
    <row r="343" spans="1:36" x14ac:dyDescent="0.3">
      <c r="A343" s="6" t="s">
        <v>280</v>
      </c>
      <c r="B343">
        <v>70</v>
      </c>
      <c r="C343">
        <v>4</v>
      </c>
      <c r="G343" s="40">
        <v>1.35</v>
      </c>
      <c r="H343" s="6">
        <v>65</v>
      </c>
      <c r="I343">
        <v>35</v>
      </c>
      <c r="J343">
        <v>754</v>
      </c>
      <c r="K343" s="40"/>
      <c r="V343" s="40"/>
      <c r="AA343" s="40"/>
      <c r="AE343" s="40"/>
    </row>
    <row r="344" spans="1:36" x14ac:dyDescent="0.3">
      <c r="A344" s="6" t="s">
        <v>281</v>
      </c>
      <c r="B344">
        <v>77</v>
      </c>
      <c r="C344">
        <v>4</v>
      </c>
      <c r="F344">
        <v>7</v>
      </c>
      <c r="G344" s="40">
        <v>1.35</v>
      </c>
      <c r="H344" s="6">
        <v>65</v>
      </c>
      <c r="I344">
        <v>750</v>
      </c>
      <c r="J344">
        <v>1192</v>
      </c>
      <c r="K344" s="40"/>
      <c r="V344" s="40"/>
      <c r="AA344" s="40">
        <v>7.1</v>
      </c>
      <c r="AE344" s="40"/>
    </row>
    <row r="345" spans="1:36" x14ac:dyDescent="0.3">
      <c r="A345" s="6" t="s">
        <v>178</v>
      </c>
      <c r="B345">
        <v>0</v>
      </c>
      <c r="C345">
        <v>0</v>
      </c>
      <c r="G345" s="40">
        <v>1.34</v>
      </c>
      <c r="H345" s="6">
        <v>76.400000000000006</v>
      </c>
      <c r="I345">
        <v>23</v>
      </c>
      <c r="J345">
        <v>112</v>
      </c>
      <c r="K345" s="40">
        <v>0</v>
      </c>
      <c r="L345">
        <v>7570</v>
      </c>
      <c r="M345">
        <v>7380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 s="40"/>
      <c r="AA345" s="40">
        <v>0.49</v>
      </c>
      <c r="AE345" s="40"/>
      <c r="AF345">
        <v>0</v>
      </c>
    </row>
    <row r="346" spans="1:36" x14ac:dyDescent="0.3">
      <c r="A346" s="6" t="s">
        <v>179</v>
      </c>
      <c r="B346">
        <v>2</v>
      </c>
      <c r="C346">
        <v>1</v>
      </c>
      <c r="G346" s="40">
        <v>1.05</v>
      </c>
      <c r="H346" s="6">
        <v>80</v>
      </c>
      <c r="I346">
        <v>0</v>
      </c>
      <c r="J346">
        <v>73</v>
      </c>
      <c r="K346" s="40"/>
      <c r="V346" s="40"/>
      <c r="AA346" s="40"/>
      <c r="AE346" s="40"/>
    </row>
    <row r="347" spans="1:36" x14ac:dyDescent="0.3">
      <c r="A347" s="6" t="s">
        <v>180</v>
      </c>
      <c r="B347">
        <v>50</v>
      </c>
      <c r="C347">
        <v>8</v>
      </c>
      <c r="G347" s="40">
        <v>0.98899999999999999</v>
      </c>
      <c r="H347" s="6">
        <v>80</v>
      </c>
      <c r="I347">
        <v>66.7</v>
      </c>
      <c r="J347">
        <v>2</v>
      </c>
      <c r="K347" s="40"/>
      <c r="V347" s="40"/>
      <c r="AA347" s="40"/>
      <c r="AE347" s="40"/>
    </row>
    <row r="348" spans="1:36" x14ac:dyDescent="0.3">
      <c r="A348" s="6" t="s">
        <v>282</v>
      </c>
      <c r="B348">
        <v>658</v>
      </c>
      <c r="G348" s="40">
        <v>0.48099999999999998</v>
      </c>
      <c r="H348" s="6">
        <v>4.07</v>
      </c>
      <c r="I348">
        <v>2</v>
      </c>
      <c r="J348">
        <v>441</v>
      </c>
      <c r="K348" s="40">
        <v>2430</v>
      </c>
      <c r="L348">
        <v>80</v>
      </c>
      <c r="M348">
        <v>90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 s="40"/>
      <c r="AA348" s="40">
        <v>15.2</v>
      </c>
      <c r="AB348">
        <v>15.1</v>
      </c>
      <c r="AE348" s="40"/>
      <c r="AF348">
        <v>1.3</v>
      </c>
    </row>
    <row r="349" spans="1:36" x14ac:dyDescent="0.3">
      <c r="A349" s="6" t="s">
        <v>189</v>
      </c>
      <c r="B349">
        <v>0</v>
      </c>
      <c r="C349">
        <v>0</v>
      </c>
      <c r="D349">
        <v>0</v>
      </c>
      <c r="E349">
        <v>0</v>
      </c>
      <c r="F349">
        <v>0</v>
      </c>
      <c r="G349" s="40">
        <v>1</v>
      </c>
      <c r="H349" s="6">
        <v>100</v>
      </c>
      <c r="I349">
        <v>0</v>
      </c>
      <c r="J349">
        <v>0</v>
      </c>
      <c r="K349" s="40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V349" s="40">
        <v>0</v>
      </c>
      <c r="W349">
        <v>0</v>
      </c>
      <c r="X349">
        <v>0</v>
      </c>
      <c r="Y349">
        <v>0</v>
      </c>
      <c r="Z349">
        <v>0</v>
      </c>
      <c r="AA349" s="40">
        <v>0</v>
      </c>
      <c r="AE349" s="40">
        <v>0</v>
      </c>
      <c r="AF349">
        <v>0</v>
      </c>
      <c r="AG349">
        <v>0</v>
      </c>
      <c r="AH349">
        <v>0</v>
      </c>
      <c r="AI349">
        <v>0</v>
      </c>
      <c r="AJ349">
        <v>0</v>
      </c>
    </row>
    <row r="350" spans="1:36" x14ac:dyDescent="0.3">
      <c r="A350" s="6" t="s">
        <v>181</v>
      </c>
      <c r="B350">
        <v>375</v>
      </c>
      <c r="C350">
        <v>30</v>
      </c>
      <c r="G350" s="40">
        <v>0.876</v>
      </c>
      <c r="H350" s="6">
        <v>91.4</v>
      </c>
      <c r="I350">
        <v>1</v>
      </c>
      <c r="J350">
        <v>112</v>
      </c>
      <c r="K350" s="40">
        <v>1210</v>
      </c>
      <c r="L350">
        <v>1580</v>
      </c>
      <c r="M350">
        <v>3360</v>
      </c>
      <c r="N350">
        <v>0</v>
      </c>
      <c r="O350">
        <v>0</v>
      </c>
      <c r="P350">
        <v>60</v>
      </c>
      <c r="Q350">
        <v>0</v>
      </c>
      <c r="R350">
        <v>0</v>
      </c>
      <c r="S350">
        <v>0</v>
      </c>
      <c r="T350">
        <v>0</v>
      </c>
      <c r="U350">
        <v>0</v>
      </c>
      <c r="V350" s="40"/>
      <c r="AA350" s="40">
        <v>0.61</v>
      </c>
      <c r="AB350">
        <v>6.6</v>
      </c>
      <c r="AE350" s="40"/>
      <c r="AF350">
        <v>8.1</v>
      </c>
    </row>
    <row r="351" spans="1:36" x14ac:dyDescent="0.3">
      <c r="A351" s="6" t="s">
        <v>577</v>
      </c>
      <c r="B351">
        <v>165</v>
      </c>
      <c r="C351">
        <v>35</v>
      </c>
      <c r="G351" s="40">
        <v>0.5</v>
      </c>
      <c r="H351" s="6">
        <v>31.7</v>
      </c>
      <c r="I351">
        <v>3390</v>
      </c>
      <c r="J351">
        <v>182</v>
      </c>
      <c r="K351" s="40">
        <v>8400</v>
      </c>
      <c r="L351">
        <v>2500</v>
      </c>
      <c r="M351">
        <v>2300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 s="40"/>
      <c r="AA351" s="40">
        <v>2.23</v>
      </c>
      <c r="AB351">
        <v>2.7</v>
      </c>
      <c r="AE351" s="40"/>
      <c r="AF351">
        <v>0</v>
      </c>
    </row>
    <row r="352" spans="1:36" x14ac:dyDescent="0.3">
      <c r="A352" s="6" t="s">
        <v>300</v>
      </c>
      <c r="B352">
        <v>7.5</v>
      </c>
      <c r="C352">
        <v>10.6</v>
      </c>
      <c r="G352" s="40">
        <v>0.998</v>
      </c>
      <c r="H352" s="6">
        <v>85</v>
      </c>
      <c r="I352">
        <v>5</v>
      </c>
      <c r="J352">
        <v>102</v>
      </c>
      <c r="K352" s="40"/>
      <c r="V352" s="40"/>
      <c r="AA352" s="40"/>
      <c r="AB352">
        <v>2.9</v>
      </c>
      <c r="AC352">
        <v>0</v>
      </c>
      <c r="AD352">
        <v>0</v>
      </c>
      <c r="AE352" s="40"/>
    </row>
    <row r="353" spans="1:36" x14ac:dyDescent="0.3">
      <c r="A353" s="6" t="s">
        <v>272</v>
      </c>
      <c r="B353">
        <v>12.2</v>
      </c>
      <c r="G353" s="40">
        <v>0.99</v>
      </c>
      <c r="H353" s="6">
        <v>82.5</v>
      </c>
      <c r="I353">
        <v>0</v>
      </c>
      <c r="J353">
        <v>0</v>
      </c>
      <c r="K353" s="40"/>
      <c r="V353" s="40"/>
      <c r="AA353" s="40"/>
      <c r="AB353">
        <v>1.6</v>
      </c>
      <c r="AC353">
        <v>0</v>
      </c>
      <c r="AD353">
        <v>0</v>
      </c>
      <c r="AE353" s="40"/>
    </row>
    <row r="354" spans="1:36" x14ac:dyDescent="0.3">
      <c r="A354" s="6" t="s">
        <v>296</v>
      </c>
      <c r="B354">
        <v>1.5</v>
      </c>
      <c r="C354">
        <v>0.5</v>
      </c>
      <c r="G354" s="40">
        <v>0.99</v>
      </c>
      <c r="H354" s="6">
        <v>82.5</v>
      </c>
      <c r="I354">
        <v>5</v>
      </c>
      <c r="J354">
        <v>99</v>
      </c>
      <c r="K354" s="40"/>
      <c r="V354" s="40"/>
      <c r="AA354" s="40"/>
      <c r="AB354">
        <v>2.2999999999999998</v>
      </c>
      <c r="AC354">
        <v>0</v>
      </c>
      <c r="AD354">
        <v>0</v>
      </c>
      <c r="AE354" s="40"/>
    </row>
    <row r="355" spans="1:36" x14ac:dyDescent="0.3">
      <c r="A355" s="6" t="s">
        <v>273</v>
      </c>
      <c r="B355">
        <v>21.5</v>
      </c>
      <c r="G355" s="40">
        <v>0.99</v>
      </c>
      <c r="H355" s="6">
        <v>82.5</v>
      </c>
      <c r="I355">
        <v>5</v>
      </c>
      <c r="J355">
        <v>99</v>
      </c>
      <c r="K355" s="40"/>
      <c r="V355" s="40"/>
      <c r="AA355" s="40"/>
      <c r="AB355">
        <v>2.9</v>
      </c>
      <c r="AC355">
        <v>0</v>
      </c>
      <c r="AD355">
        <v>0</v>
      </c>
      <c r="AE355" s="40"/>
    </row>
    <row r="356" spans="1:36" x14ac:dyDescent="0.3">
      <c r="A356" s="6" t="s">
        <v>274</v>
      </c>
      <c r="B356">
        <v>7.8</v>
      </c>
      <c r="G356" s="40">
        <v>0.99</v>
      </c>
      <c r="H356" s="6">
        <v>82.5</v>
      </c>
      <c r="I356">
        <v>5</v>
      </c>
      <c r="J356">
        <v>99</v>
      </c>
      <c r="K356" s="40"/>
      <c r="V356" s="40"/>
      <c r="AA356" s="40"/>
      <c r="AB356">
        <v>2.9</v>
      </c>
      <c r="AC356">
        <v>0</v>
      </c>
      <c r="AD356">
        <v>0</v>
      </c>
      <c r="AE356" s="40"/>
    </row>
    <row r="357" spans="1:36" x14ac:dyDescent="0.3">
      <c r="A357" s="6" t="s">
        <v>555</v>
      </c>
      <c r="B357">
        <v>0</v>
      </c>
      <c r="C357">
        <v>0</v>
      </c>
      <c r="D357">
        <v>0</v>
      </c>
      <c r="E357">
        <v>0</v>
      </c>
      <c r="F357">
        <v>0</v>
      </c>
      <c r="G357" s="40">
        <v>1.52</v>
      </c>
      <c r="H357" s="6">
        <v>0.1</v>
      </c>
      <c r="I357">
        <v>0</v>
      </c>
      <c r="J357">
        <v>0</v>
      </c>
      <c r="K357" s="40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V357" s="40">
        <v>0</v>
      </c>
      <c r="W357">
        <v>0</v>
      </c>
      <c r="X357">
        <v>0</v>
      </c>
      <c r="Y357">
        <v>99900</v>
      </c>
      <c r="Z357">
        <v>0</v>
      </c>
      <c r="AA357" s="40">
        <v>0</v>
      </c>
      <c r="AB357">
        <v>0</v>
      </c>
      <c r="AC357">
        <v>0</v>
      </c>
      <c r="AE357" s="40">
        <v>0</v>
      </c>
      <c r="AF357">
        <v>0</v>
      </c>
      <c r="AG357">
        <v>0</v>
      </c>
      <c r="AH357">
        <v>0</v>
      </c>
      <c r="AI357">
        <v>0</v>
      </c>
      <c r="AJ357">
        <v>0</v>
      </c>
    </row>
    <row r="358" spans="1:36" x14ac:dyDescent="0.3">
      <c r="A358" s="6" t="s">
        <v>182</v>
      </c>
      <c r="B358">
        <v>9</v>
      </c>
      <c r="C358">
        <v>8</v>
      </c>
      <c r="G358" s="40">
        <v>1.1040000000000001</v>
      </c>
      <c r="H358" s="6">
        <v>69.599999999999994</v>
      </c>
      <c r="I358">
        <v>9</v>
      </c>
      <c r="J358">
        <v>816</v>
      </c>
      <c r="K358" s="40"/>
      <c r="V358" s="40"/>
      <c r="AA358" s="40">
        <v>1.53</v>
      </c>
      <c r="AE358" s="40"/>
      <c r="AF358">
        <v>17.100000000000001</v>
      </c>
    </row>
    <row r="359" spans="1:36" x14ac:dyDescent="0.3">
      <c r="A359" s="6" t="s">
        <v>183</v>
      </c>
      <c r="B359">
        <v>1020</v>
      </c>
      <c r="C359">
        <v>730</v>
      </c>
      <c r="G359" s="40">
        <v>0.49</v>
      </c>
      <c r="H359" s="6">
        <v>2</v>
      </c>
      <c r="I359">
        <v>2962</v>
      </c>
      <c r="J359">
        <v>2100</v>
      </c>
      <c r="K359" s="40"/>
      <c r="V359" s="40"/>
      <c r="AA359" s="40">
        <v>64.099999999999994</v>
      </c>
      <c r="AB359">
        <v>140</v>
      </c>
      <c r="AE359" s="40"/>
    </row>
    <row r="360" spans="1:36" x14ac:dyDescent="0.3">
      <c r="A360" s="6" t="s">
        <v>184</v>
      </c>
      <c r="B360">
        <v>20</v>
      </c>
      <c r="C360">
        <v>34</v>
      </c>
      <c r="G360" s="40">
        <v>0.94</v>
      </c>
      <c r="H360" s="6">
        <v>94.8</v>
      </c>
      <c r="I360">
        <v>8</v>
      </c>
      <c r="J360">
        <v>261</v>
      </c>
      <c r="K360" s="40">
        <v>50</v>
      </c>
      <c r="L360">
        <v>1070</v>
      </c>
      <c r="M360">
        <v>1380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 s="40"/>
      <c r="AA360" s="40">
        <v>1.21</v>
      </c>
      <c r="AB360">
        <v>6.2</v>
      </c>
      <c r="AE360" s="40"/>
      <c r="AF360">
        <v>17.899999999999999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581B-4EAE-422D-8E29-A41EA824AFB1}">
  <dimension ref="A1:BG117"/>
  <sheetViews>
    <sheetView zoomScaleNormal="100" zoomScaleSheetLayoutView="110" workbookViewId="0">
      <selection activeCell="E115" sqref="E115"/>
    </sheetView>
  </sheetViews>
  <sheetFormatPr defaultRowHeight="14.4" x14ac:dyDescent="0.3"/>
  <cols>
    <col min="1" max="1" width="34.5546875" bestFit="1" customWidth="1"/>
    <col min="2" max="2" width="28.44140625" bestFit="1" customWidth="1"/>
    <col min="3" max="3" width="23.109375" bestFit="1" customWidth="1"/>
    <col min="5" max="5" width="31" bestFit="1" customWidth="1"/>
    <col min="6" max="6" width="16.6640625" bestFit="1" customWidth="1"/>
    <col min="7" max="7" width="23.109375" bestFit="1" customWidth="1"/>
    <col min="8" max="8" width="13.5546875" bestFit="1" customWidth="1"/>
    <col min="9" max="9" width="17.6640625" bestFit="1" customWidth="1"/>
    <col min="10" max="10" width="42.109375" bestFit="1" customWidth="1"/>
    <col min="11" max="11" width="13.5546875" bestFit="1" customWidth="1"/>
    <col min="12" max="12" width="19.6640625" bestFit="1" customWidth="1"/>
    <col min="13" max="13" width="13.88671875" bestFit="1" customWidth="1"/>
    <col min="14" max="14" width="16.6640625" bestFit="1" customWidth="1"/>
    <col min="15" max="15" width="13.6640625" bestFit="1" customWidth="1"/>
    <col min="16" max="16" width="19.33203125" bestFit="1" customWidth="1"/>
    <col min="17" max="17" width="18.6640625" bestFit="1" customWidth="1"/>
    <col min="18" max="18" width="19.109375" bestFit="1" customWidth="1"/>
    <col min="19" max="19" width="18.33203125" bestFit="1" customWidth="1"/>
    <col min="20" max="20" width="19.109375" bestFit="1" customWidth="1"/>
    <col min="21" max="21" width="30.6640625" bestFit="1" customWidth="1"/>
    <col min="22" max="22" width="32.6640625" bestFit="1" customWidth="1"/>
    <col min="23" max="23" width="41.109375" bestFit="1" customWidth="1"/>
    <col min="24" max="24" width="30.6640625" bestFit="1" customWidth="1"/>
    <col min="25" max="25" width="31.21875" bestFit="1" customWidth="1"/>
    <col min="26" max="26" width="30.21875" bestFit="1" customWidth="1"/>
    <col min="27" max="27" width="40.109375" bestFit="1" customWidth="1"/>
    <col min="28" max="28" width="28.88671875" bestFit="1" customWidth="1"/>
    <col min="29" max="29" width="27.6640625" bestFit="1" customWidth="1"/>
    <col min="30" max="31" width="17" bestFit="1" customWidth="1"/>
    <col min="32" max="32" width="17.6640625" bestFit="1" customWidth="1"/>
    <col min="33" max="33" width="16.77734375" bestFit="1" customWidth="1"/>
    <col min="34" max="34" width="18.6640625" bestFit="1" customWidth="1"/>
    <col min="35" max="35" width="17.33203125" bestFit="1" customWidth="1"/>
    <col min="36" max="37" width="20.21875" bestFit="1" customWidth="1"/>
    <col min="38" max="38" width="19" bestFit="1" customWidth="1"/>
    <col min="39" max="39" width="15.88671875" bestFit="1" customWidth="1"/>
    <col min="40" max="40" width="18.44140625" bestFit="1" customWidth="1"/>
    <col min="41" max="41" width="17.33203125" bestFit="1" customWidth="1"/>
    <col min="42" max="42" width="17" bestFit="1" customWidth="1"/>
    <col min="43" max="43" width="18.33203125" bestFit="1" customWidth="1"/>
    <col min="44" max="44" width="15.6640625" bestFit="1" customWidth="1"/>
    <col min="45" max="45" width="18.21875" bestFit="1" customWidth="1"/>
    <col min="46" max="46" width="10.33203125" bestFit="1" customWidth="1"/>
    <col min="47" max="47" width="25" bestFit="1" customWidth="1"/>
    <col min="48" max="48" width="20.44140625" bestFit="1" customWidth="1"/>
    <col min="49" max="49" width="40.5546875" bestFit="1" customWidth="1"/>
    <col min="50" max="50" width="26.88671875" bestFit="1" customWidth="1"/>
    <col min="51" max="51" width="44.109375" bestFit="1" customWidth="1"/>
    <col min="52" max="52" width="21" bestFit="1" customWidth="1"/>
    <col min="53" max="53" width="40.5546875" bestFit="1" customWidth="1"/>
    <col min="54" max="54" width="19.77734375" bestFit="1" customWidth="1"/>
    <col min="55" max="55" width="21.88671875" bestFit="1" customWidth="1"/>
    <col min="56" max="56" width="18.88671875" bestFit="1" customWidth="1"/>
    <col min="57" max="57" width="19.44140625" bestFit="1" customWidth="1"/>
    <col min="58" max="58" width="19.21875" bestFit="1" customWidth="1"/>
    <col min="59" max="59" width="21" bestFit="1" customWidth="1"/>
  </cols>
  <sheetData>
    <row r="1" spans="1:59" x14ac:dyDescent="0.3">
      <c r="A1" s="5" t="s">
        <v>192</v>
      </c>
      <c r="B1" s="14" t="s">
        <v>0</v>
      </c>
      <c r="C1" s="4" t="s">
        <v>185</v>
      </c>
      <c r="D1" s="4" t="s">
        <v>223</v>
      </c>
      <c r="E1" s="4" t="s">
        <v>186</v>
      </c>
      <c r="F1" s="4" t="s">
        <v>223</v>
      </c>
      <c r="G1" s="4" t="s">
        <v>232</v>
      </c>
      <c r="H1" s="4" t="s">
        <v>224</v>
      </c>
      <c r="I1" s="4" t="s">
        <v>233</v>
      </c>
      <c r="J1" s="4" t="s">
        <v>225</v>
      </c>
      <c r="K1" s="4" t="s">
        <v>188</v>
      </c>
      <c r="L1" s="4" t="s">
        <v>235</v>
      </c>
      <c r="M1" s="4" t="s">
        <v>237</v>
      </c>
      <c r="N1" s="4" t="s">
        <v>191</v>
      </c>
      <c r="O1" s="4" t="s">
        <v>226</v>
      </c>
      <c r="P1" s="4" t="s">
        <v>1</v>
      </c>
      <c r="Q1" s="4" t="s">
        <v>2</v>
      </c>
      <c r="R1" s="4" t="s">
        <v>3</v>
      </c>
      <c r="S1" s="4" t="s">
        <v>4</v>
      </c>
      <c r="T1" s="4" t="s">
        <v>5</v>
      </c>
      <c r="U1" s="4" t="s">
        <v>227</v>
      </c>
      <c r="V1" s="4" t="s">
        <v>228</v>
      </c>
      <c r="W1" s="4" t="s">
        <v>229</v>
      </c>
      <c r="X1" s="4" t="s">
        <v>230</v>
      </c>
      <c r="Y1" s="4" t="s">
        <v>231</v>
      </c>
      <c r="Z1" s="38" t="s">
        <v>460</v>
      </c>
      <c r="AA1" s="4" t="s">
        <v>630</v>
      </c>
      <c r="AB1" s="4" t="s">
        <v>461</v>
      </c>
      <c r="AC1" s="4" t="s">
        <v>631</v>
      </c>
      <c r="AD1" s="38" t="s">
        <v>453</v>
      </c>
      <c r="AE1" s="4" t="s">
        <v>454</v>
      </c>
      <c r="AF1" s="4" t="s">
        <v>455</v>
      </c>
      <c r="AG1" s="4" t="s">
        <v>456</v>
      </c>
      <c r="AH1" s="4" t="s">
        <v>457</v>
      </c>
      <c r="AI1" s="4" t="s">
        <v>458</v>
      </c>
      <c r="AJ1" s="4" t="s">
        <v>490</v>
      </c>
      <c r="AK1" s="4" t="s">
        <v>562</v>
      </c>
      <c r="AL1" s="4" t="s">
        <v>563</v>
      </c>
      <c r="AM1" s="4" t="s">
        <v>564</v>
      </c>
      <c r="AN1" s="5" t="s">
        <v>565</v>
      </c>
      <c r="AO1" s="4" t="s">
        <v>463</v>
      </c>
      <c r="AP1" s="4" t="s">
        <v>462</v>
      </c>
      <c r="AQ1" s="4" t="s">
        <v>464</v>
      </c>
      <c r="AR1" s="4" t="s">
        <v>465</v>
      </c>
      <c r="AS1" s="5" t="s">
        <v>459</v>
      </c>
      <c r="AT1" s="4" t="s">
        <v>472</v>
      </c>
      <c r="AU1" s="4" t="s">
        <v>634</v>
      </c>
      <c r="AV1" s="4" t="s">
        <v>521</v>
      </c>
      <c r="AW1" s="4" t="s">
        <v>635</v>
      </c>
      <c r="AX1" s="4" t="s">
        <v>522</v>
      </c>
      <c r="AY1" s="4" t="s">
        <v>636</v>
      </c>
      <c r="AZ1" s="4" t="s">
        <v>708</v>
      </c>
      <c r="BA1" s="4" t="s">
        <v>709</v>
      </c>
      <c r="BB1" s="4" t="s">
        <v>468</v>
      </c>
      <c r="BC1" s="4" t="s">
        <v>469</v>
      </c>
      <c r="BD1" s="4" t="s">
        <v>466</v>
      </c>
      <c r="BE1" s="4" t="s">
        <v>467</v>
      </c>
      <c r="BF1" s="4" t="s">
        <v>471</v>
      </c>
      <c r="BG1" s="4" t="s">
        <v>470</v>
      </c>
    </row>
    <row r="2" spans="1:59" x14ac:dyDescent="0.3">
      <c r="A2">
        <v>1</v>
      </c>
      <c r="B2" s="13">
        <f>Dashboard!B4</f>
        <v>0</v>
      </c>
      <c r="C2">
        <f>Dashboard!D4</f>
        <v>0</v>
      </c>
      <c r="D2">
        <f>Dashboard!F4</f>
        <v>0</v>
      </c>
      <c r="E2">
        <f>Dashboard!H4</f>
        <v>0</v>
      </c>
      <c r="F2">
        <f>Dashboard!J4</f>
        <v>0</v>
      </c>
      <c r="G2">
        <f>IF(ISNA(Units!F7),0,Units!F7)</f>
        <v>0</v>
      </c>
      <c r="H2">
        <f t="shared" ref="H2:H11" si="0">C2*G2</f>
        <v>0</v>
      </c>
      <c r="I2">
        <f>IF(ISNA(Units!F16),0,Units!F16)</f>
        <v>0</v>
      </c>
      <c r="J2">
        <f t="shared" ref="J2:J11" si="1">E2*I2</f>
        <v>0</v>
      </c>
      <c r="K2">
        <f>_xlfn.XLOOKUP(B2,'Raw Data'!$A$3:$A$360,'Raw Data'!$G$3:$G$360,0)</f>
        <v>0</v>
      </c>
      <c r="L2">
        <f t="shared" ref="L2:L11" si="2">J2*K2</f>
        <v>0</v>
      </c>
      <c r="M2">
        <f t="shared" ref="M2:M11" si="3">IF(H2&gt;0,H2,L2)</f>
        <v>0</v>
      </c>
      <c r="N2">
        <f>_xlfn.XLOOKUP(B2,'Raw Data'!$A$3:$A$360,'Raw Data'!$H$3:$H$360,0)</f>
        <v>0</v>
      </c>
      <c r="O2">
        <f t="shared" ref="O2:O11" si="4">M2*N2/100</f>
        <v>0</v>
      </c>
      <c r="P2">
        <f>_xlfn.XLOOKUP(B2,'Raw Data'!$A$3:$A$360,'Raw Data'!$B$3:$B$360,0)</f>
        <v>0</v>
      </c>
      <c r="Q2">
        <f>_xlfn.XLOOKUP(B2,'Raw Data'!$A$3:$A$360,'Raw Data'!$C$3:$C$360,0)</f>
        <v>0</v>
      </c>
      <c r="R2">
        <f>_xlfn.XLOOKUP(B2,'Raw Data'!$A$3:$A$360,'Raw Data'!$D$3:$D$360,0)</f>
        <v>0</v>
      </c>
      <c r="S2">
        <f>_xlfn.XLOOKUP(B2,'Raw Data'!$A$3:$A$360,'Raw Data'!$E$3:$E$360,0)</f>
        <v>0</v>
      </c>
      <c r="T2">
        <f>_xlfn.XLOOKUP(B2,'Raw Data'!$A$3:$A$360,'Raw Data'!$F$3:$F$360,0)</f>
        <v>0</v>
      </c>
      <c r="U2">
        <f>$M2/100*P2</f>
        <v>0</v>
      </c>
      <c r="V2">
        <f t="shared" ref="V2:X2" si="5">$M2/100*Q2</f>
        <v>0</v>
      </c>
      <c r="W2">
        <f t="shared" si="5"/>
        <v>0</v>
      </c>
      <c r="X2">
        <f t="shared" si="5"/>
        <v>0</v>
      </c>
      <c r="Y2">
        <f>$M2/100*T2</f>
        <v>0</v>
      </c>
      <c r="Z2" s="40">
        <f>_xlfn.XLOOKUP(B2,'Raw Data'!$A$3:$A$360,'Raw Data'!$I$3:$I$360,0)</f>
        <v>0</v>
      </c>
      <c r="AA2">
        <f t="shared" ref="AA2:AA11" si="6">M2/100*Z2</f>
        <v>0</v>
      </c>
      <c r="AB2">
        <f>_xlfn.XLOOKUP(B2,'Raw Data'!$A$3:$A$360,'Raw Data'!$J$3:$J$360,0)</f>
        <v>0</v>
      </c>
      <c r="AC2">
        <f t="shared" ref="AC2:AC11" si="7">M2/100*AB2</f>
        <v>0</v>
      </c>
      <c r="AD2" s="40">
        <f>_xlfn.XLOOKUP($B2,'Raw Data'!$A$3:$A$360,'Raw Data'!$K$3:$K$360,0)</f>
        <v>0</v>
      </c>
      <c r="AE2">
        <f>_xlfn.XLOOKUP($B2,'Raw Data'!$A$3:$A$360,'Raw Data'!$L$3:$L$360,0)</f>
        <v>0</v>
      </c>
      <c r="AF2">
        <f>_xlfn.XLOOKUP($B2,'Raw Data'!$A$3:$A$360,'Raw Data'!$M$3:$M$360,0)</f>
        <v>0</v>
      </c>
      <c r="AG2">
        <f>_xlfn.XLOOKUP($B2,'Raw Data'!$A$3:$A$360,'Raw Data'!$N$3:$N$360,0)</f>
        <v>0</v>
      </c>
      <c r="AH2">
        <f>_xlfn.XLOOKUP($B2,'Raw Data'!$A$3:$A$360,'Raw Data'!$O$3:$O$360,0)</f>
        <v>0</v>
      </c>
      <c r="AI2">
        <f>_xlfn.XLOOKUP($B2,'Raw Data'!$A$3:$A$360,'Raw Data'!$P$3:$P$360,0)</f>
        <v>0</v>
      </c>
      <c r="AJ2">
        <f>_xlfn.XLOOKUP($B2,'Raw Data'!$A$3:$A$360,'Raw Data'!$Q$3:$Q$360,0)</f>
        <v>0</v>
      </c>
      <c r="AK2">
        <f>_xlfn.XLOOKUP($B2,'Raw Data'!$A$3:$A$360,'Raw Data'!$R$3:$R$360,0)</f>
        <v>0</v>
      </c>
      <c r="AL2">
        <f>_xlfn.XLOOKUP($B2,'Raw Data'!$A$3:$A$360,'Raw Data'!$S$3:$S$360,0)</f>
        <v>0</v>
      </c>
      <c r="AM2">
        <f>_xlfn.XLOOKUP($B2,'Raw Data'!$A$3:$A$360,'Raw Data'!$T$3:$T$360,0)</f>
        <v>0</v>
      </c>
      <c r="AN2" s="6">
        <f>_xlfn.XLOOKUP($B2,'Raw Data'!$A$3:$A$360,'Raw Data'!$U$3:$U$360,0)</f>
        <v>0</v>
      </c>
      <c r="AO2">
        <f>_xlfn.XLOOKUP($B2,'Raw Data'!$A$3:$A$360,'Raw Data'!$V$3:$V$360,0)</f>
        <v>0</v>
      </c>
      <c r="AP2">
        <f>_xlfn.XLOOKUP($B2,'Raw Data'!$A$3:$A$360,'Raw Data'!$W$3:$W$360,0)</f>
        <v>0</v>
      </c>
      <c r="AQ2">
        <f>_xlfn.XLOOKUP($B2,'Raw Data'!$A$3:$A$360,'Raw Data'!$X$3:$X$360,0)</f>
        <v>0</v>
      </c>
      <c r="AR2">
        <f>_xlfn.XLOOKUP($B2,'Raw Data'!$A$3:$A$360,'Raw Data'!$Y$3:$Y$360,0)</f>
        <v>0</v>
      </c>
      <c r="AS2" s="6">
        <f>_xlfn.XLOOKUP($B2,'Raw Data'!$A$3:$A$360,'Raw Data'!$Z$3:$Z$360,0)</f>
        <v>0</v>
      </c>
      <c r="AT2" s="45">
        <f>_xlfn.XLOOKUP($B2,'Raw Data'!$A$3:$A$360,'Raw Data'!$AA$3:$AA$360,0)</f>
        <v>0</v>
      </c>
      <c r="AU2" s="46">
        <f t="shared" ref="AU2:AU11" si="8">M2/100*AT2</f>
        <v>0</v>
      </c>
      <c r="AV2" s="46">
        <f>_xlfn.XLOOKUP($B2,'Raw Data'!$A$3:$A$360,'Raw Data'!$AB$3:$AB$360,0)</f>
        <v>0</v>
      </c>
      <c r="AW2" s="46">
        <f>M2/100*AV2</f>
        <v>0</v>
      </c>
      <c r="AX2" s="46">
        <f>_xlfn.XLOOKUP($B2,'Raw Data'!$A$3:$A$360,'Raw Data'!$AC$3:$AC$360,0)</f>
        <v>0</v>
      </c>
      <c r="AY2" s="46">
        <f t="shared" ref="AY2:AY11" si="9">M2/100*AX2</f>
        <v>0</v>
      </c>
      <c r="AZ2">
        <f>_xlfn.XLOOKUP($B2,'Raw Data'!$A$3:$A$360,'Raw Data'!$AD$3:$AD$360,0)</f>
        <v>0</v>
      </c>
      <c r="BA2">
        <f>M2/100*AZ2</f>
        <v>0</v>
      </c>
      <c r="BB2" s="46">
        <f>_xlfn.XLOOKUP($B2,'Raw Data'!$A$3:$A$360,'Raw Data'!$AE$3:$AE$360,0)</f>
        <v>0</v>
      </c>
      <c r="BC2" s="46">
        <f>_xlfn.XLOOKUP($B2,'Raw Data'!$A$3:$A$360,'Raw Data'!$AF$3:$AF$360,0)</f>
        <v>0</v>
      </c>
      <c r="BD2" s="46">
        <f>_xlfn.XLOOKUP($B2,'Raw Data'!$A$3:$A$360,'Raw Data'!$AG$3:$AG$360,0)</f>
        <v>0</v>
      </c>
      <c r="BE2" s="46">
        <f>_xlfn.XLOOKUP($B2,'Raw Data'!$A$3:$A$360,'Raw Data'!$AH$3:$AH$360,0)</f>
        <v>0</v>
      </c>
      <c r="BF2" s="46">
        <f>_xlfn.XLOOKUP($B2,'Raw Data'!$A$3:$A$360,'Raw Data'!$AI$3:$AI$360,0)</f>
        <v>0</v>
      </c>
      <c r="BG2" s="46">
        <f>_xlfn.XLOOKUP($B2,'Raw Data'!$A$3:$A$360,'Raw Data'!$AJ$3:$AJ$360,0)</f>
        <v>0</v>
      </c>
    </row>
    <row r="3" spans="1:59" x14ac:dyDescent="0.3">
      <c r="A3">
        <v>2</v>
      </c>
      <c r="B3" s="13">
        <f>Dashboard!B6</f>
        <v>0</v>
      </c>
      <c r="C3">
        <f>Dashboard!D6</f>
        <v>0</v>
      </c>
      <c r="D3">
        <f>Dashboard!F6</f>
        <v>0</v>
      </c>
      <c r="E3">
        <f>Dashboard!H6</f>
        <v>0</v>
      </c>
      <c r="F3">
        <f>Dashboard!J6</f>
        <v>0</v>
      </c>
      <c r="G3">
        <f>IF(ISNA(Units!H7),0,Units!H7)</f>
        <v>0</v>
      </c>
      <c r="H3">
        <f t="shared" si="0"/>
        <v>0</v>
      </c>
      <c r="I3">
        <f>IF(ISNA(Units!H16),0,Units!H16)</f>
        <v>0</v>
      </c>
      <c r="J3">
        <f t="shared" si="1"/>
        <v>0</v>
      </c>
      <c r="K3">
        <f>_xlfn.XLOOKUP(B3,'Raw Data'!$A$3:$A$360,'Raw Data'!$G$3:$G$360,0)</f>
        <v>0</v>
      </c>
      <c r="L3">
        <f t="shared" si="2"/>
        <v>0</v>
      </c>
      <c r="M3">
        <f t="shared" si="3"/>
        <v>0</v>
      </c>
      <c r="N3">
        <f>_xlfn.XLOOKUP(B3,'Raw Data'!$A$3:$A$360,'Raw Data'!$H$3:$H$360,0)</f>
        <v>0</v>
      </c>
      <c r="O3">
        <f t="shared" si="4"/>
        <v>0</v>
      </c>
      <c r="P3">
        <f>_xlfn.XLOOKUP(B3,'Raw Data'!$A$3:$A$360,'Raw Data'!$B$3:$B$360,0)</f>
        <v>0</v>
      </c>
      <c r="Q3">
        <f>_xlfn.XLOOKUP(B3,'Raw Data'!$A$3:$A$360,'Raw Data'!$C$3:$C$360,0)</f>
        <v>0</v>
      </c>
      <c r="R3">
        <f>_xlfn.XLOOKUP(B3,'Raw Data'!$A$3:$A$360,'Raw Data'!$D$3:$D$360,0)</f>
        <v>0</v>
      </c>
      <c r="S3">
        <f>_xlfn.XLOOKUP(B3,'Raw Data'!$A$3:$A$360,'Raw Data'!$E$3:$E$360,0)</f>
        <v>0</v>
      </c>
      <c r="T3">
        <f>_xlfn.XLOOKUP(B3,'Raw Data'!$A$3:$A$360,'Raw Data'!$F$3:$F$360,0)</f>
        <v>0</v>
      </c>
      <c r="U3">
        <f t="shared" ref="U3:U11" si="10">$M3/100*P3</f>
        <v>0</v>
      </c>
      <c r="V3">
        <f t="shared" ref="V3:Y3" si="11">$M3/100*Q3</f>
        <v>0</v>
      </c>
      <c r="W3">
        <f t="shared" si="11"/>
        <v>0</v>
      </c>
      <c r="X3">
        <f t="shared" si="11"/>
        <v>0</v>
      </c>
      <c r="Y3">
        <f t="shared" si="11"/>
        <v>0</v>
      </c>
      <c r="Z3" s="40">
        <f>_xlfn.XLOOKUP(B3,'Raw Data'!$A$3:$A$360,'Raw Data'!$I$3:$I$360,0)</f>
        <v>0</v>
      </c>
      <c r="AA3">
        <f t="shared" si="6"/>
        <v>0</v>
      </c>
      <c r="AB3">
        <f>_xlfn.XLOOKUP(B3,'Raw Data'!$A$3:$A$360,'Raw Data'!$J$3:$J$360,0)</f>
        <v>0</v>
      </c>
      <c r="AC3">
        <f t="shared" si="7"/>
        <v>0</v>
      </c>
      <c r="AD3" s="40">
        <f>_xlfn.XLOOKUP($B3,'Raw Data'!$A$3:$A$360,'Raw Data'!$K$3:$K$360,0)</f>
        <v>0</v>
      </c>
      <c r="AE3">
        <f>_xlfn.XLOOKUP($B3,'Raw Data'!$A$3:$A$360,'Raw Data'!$L$3:$L$360,0)</f>
        <v>0</v>
      </c>
      <c r="AF3">
        <f>_xlfn.XLOOKUP($B3,'Raw Data'!$A$3:$A$360,'Raw Data'!$M$3:$M$360,0)</f>
        <v>0</v>
      </c>
      <c r="AG3">
        <f>_xlfn.XLOOKUP($B3,'Raw Data'!$A$3:$A$360,'Raw Data'!$N$3:$N$360,0)</f>
        <v>0</v>
      </c>
      <c r="AH3">
        <f>_xlfn.XLOOKUP($B3,'Raw Data'!$A$3:$A$360,'Raw Data'!$O$3:$O$360,0)</f>
        <v>0</v>
      </c>
      <c r="AI3">
        <f>_xlfn.XLOOKUP($B3,'Raw Data'!$A$3:$A$360,'Raw Data'!$P$3:$P$360,0)</f>
        <v>0</v>
      </c>
      <c r="AJ3">
        <f>_xlfn.XLOOKUP($B3,'Raw Data'!$A$3:$A$360,'Raw Data'!$Q$3:$Q$360,0)</f>
        <v>0</v>
      </c>
      <c r="AK3">
        <f>_xlfn.XLOOKUP($B3,'Raw Data'!$A$3:$A$360,'Raw Data'!$R$3:$R$360,0)</f>
        <v>0</v>
      </c>
      <c r="AL3">
        <f>_xlfn.XLOOKUP($B3,'Raw Data'!$A$3:$A$360,'Raw Data'!$S$3:$S$360,0)</f>
        <v>0</v>
      </c>
      <c r="AM3">
        <f>_xlfn.XLOOKUP($B3,'Raw Data'!$A$3:$A$360,'Raw Data'!$T$3:$T$360,0)</f>
        <v>0</v>
      </c>
      <c r="AN3" s="6">
        <f>_xlfn.XLOOKUP($B3,'Raw Data'!$A$3:$A$360,'Raw Data'!$U$3:$U$360,0)</f>
        <v>0</v>
      </c>
      <c r="AO3">
        <f>_xlfn.XLOOKUP($B3,'Raw Data'!$A$3:$A$360,'Raw Data'!$V$3:$V$360,0)</f>
        <v>0</v>
      </c>
      <c r="AP3">
        <f>_xlfn.XLOOKUP($B3,'Raw Data'!$A$3:$A$360,'Raw Data'!$W$3:$W$360,0)</f>
        <v>0</v>
      </c>
      <c r="AQ3">
        <f>_xlfn.XLOOKUP($B3,'Raw Data'!$A$3:$A$360,'Raw Data'!$X$3:$X$360,0)</f>
        <v>0</v>
      </c>
      <c r="AR3">
        <f>_xlfn.XLOOKUP($B3,'Raw Data'!$A$3:$A$360,'Raw Data'!$Y$3:$Y$360,0)</f>
        <v>0</v>
      </c>
      <c r="AS3" s="6">
        <f>_xlfn.XLOOKUP($B3,'Raw Data'!$A$3:$A$360,'Raw Data'!$Z$3:$Z$360,0)</f>
        <v>0</v>
      </c>
      <c r="AT3" s="40">
        <f>_xlfn.XLOOKUP($B3,'Raw Data'!$A$3:$A$360,'Raw Data'!$AA$3:$AA$360,0)</f>
        <v>0</v>
      </c>
      <c r="AU3">
        <f t="shared" si="8"/>
        <v>0</v>
      </c>
      <c r="AV3">
        <f>_xlfn.XLOOKUP($B3,'Raw Data'!$A$3:$A$360,'Raw Data'!$AB$3:$AB$360,0)</f>
        <v>0</v>
      </c>
      <c r="AW3">
        <f t="shared" ref="AW3:AW11" si="12">M3/100*AV3</f>
        <v>0</v>
      </c>
      <c r="AX3">
        <f>_xlfn.XLOOKUP($B3,'Raw Data'!$A$3:$A$360,'Raw Data'!$AC$3:$AC$360,0)</f>
        <v>0</v>
      </c>
      <c r="AY3">
        <f t="shared" si="9"/>
        <v>0</v>
      </c>
      <c r="AZ3">
        <f>_xlfn.XLOOKUP($B3,'Raw Data'!$A$3:$A$360,'Raw Data'!$AD$3:$AD$360,0)</f>
        <v>0</v>
      </c>
      <c r="BA3">
        <f t="shared" ref="BA3:BA11" si="13">M3/100*AZ3</f>
        <v>0</v>
      </c>
      <c r="BB3">
        <f>_xlfn.XLOOKUP($B3,'Raw Data'!$A$3:$A$360,'Raw Data'!$AE$3:$AE$360,0)</f>
        <v>0</v>
      </c>
      <c r="BC3">
        <f>_xlfn.XLOOKUP($B3,'Raw Data'!$A$3:$A$360,'Raw Data'!$AF$3:$AF$360,0)</f>
        <v>0</v>
      </c>
      <c r="BD3">
        <f>_xlfn.XLOOKUP($B3,'Raw Data'!$A$3:$A$360,'Raw Data'!$AG$3:$AG$360,0)</f>
        <v>0</v>
      </c>
      <c r="BE3">
        <f>_xlfn.XLOOKUP($B3,'Raw Data'!$A$3:$A$360,'Raw Data'!$AH$3:$AH$360,0)</f>
        <v>0</v>
      </c>
      <c r="BF3">
        <f>_xlfn.XLOOKUP($B3,'Raw Data'!$A$3:$A$360,'Raw Data'!$AI$3:$AI$360,0)</f>
        <v>0</v>
      </c>
      <c r="BG3">
        <f>_xlfn.XLOOKUP($B3,'Raw Data'!$A$3:$A$360,'Raw Data'!$AJ$3:$AJ$360,0)</f>
        <v>0</v>
      </c>
    </row>
    <row r="4" spans="1:59" x14ac:dyDescent="0.3">
      <c r="A4">
        <v>3</v>
      </c>
      <c r="B4" s="13">
        <f>Dashboard!B8</f>
        <v>0</v>
      </c>
      <c r="C4">
        <f>Dashboard!D8</f>
        <v>0</v>
      </c>
      <c r="D4">
        <f>Dashboard!F8</f>
        <v>0</v>
      </c>
      <c r="E4">
        <f>Dashboard!H8</f>
        <v>0</v>
      </c>
      <c r="F4">
        <f>Dashboard!J8</f>
        <v>0</v>
      </c>
      <c r="G4">
        <f>IF(ISNA(Units!J7),0,Units!J7)</f>
        <v>0</v>
      </c>
      <c r="H4">
        <f t="shared" si="0"/>
        <v>0</v>
      </c>
      <c r="I4">
        <f>IF(ISNA(Units!J16),0,Units!J16)</f>
        <v>0</v>
      </c>
      <c r="J4">
        <f t="shared" si="1"/>
        <v>0</v>
      </c>
      <c r="K4">
        <f>_xlfn.XLOOKUP(B4,'Raw Data'!$A$3:$A$360,'Raw Data'!$G$3:$G$360,0)</f>
        <v>0</v>
      </c>
      <c r="L4">
        <f t="shared" si="2"/>
        <v>0</v>
      </c>
      <c r="M4">
        <f t="shared" si="3"/>
        <v>0</v>
      </c>
      <c r="N4">
        <f>_xlfn.XLOOKUP(B4,'Raw Data'!$A$3:$A$360,'Raw Data'!$H$3:$H$360,0)</f>
        <v>0</v>
      </c>
      <c r="O4">
        <f t="shared" si="4"/>
        <v>0</v>
      </c>
      <c r="P4">
        <f>_xlfn.XLOOKUP(B4,'Raw Data'!$A$3:$A$360,'Raw Data'!$B$3:$B$360,0)</f>
        <v>0</v>
      </c>
      <c r="Q4">
        <f>_xlfn.XLOOKUP(B4,'Raw Data'!$A$3:$A$360,'Raw Data'!$C$3:$C$360,0)</f>
        <v>0</v>
      </c>
      <c r="R4">
        <f>_xlfn.XLOOKUP(B4,'Raw Data'!$A$3:$A$360,'Raw Data'!$D$3:$D$360,0)</f>
        <v>0</v>
      </c>
      <c r="S4">
        <f>_xlfn.XLOOKUP(B4,'Raw Data'!$A$3:$A$360,'Raw Data'!$E$3:$E$360,0)</f>
        <v>0</v>
      </c>
      <c r="T4">
        <f>_xlfn.XLOOKUP(B4,'Raw Data'!$A$3:$A$360,'Raw Data'!$F$3:$F$360,0)</f>
        <v>0</v>
      </c>
      <c r="U4">
        <f t="shared" si="10"/>
        <v>0</v>
      </c>
      <c r="V4">
        <f t="shared" ref="V4:Y4" si="14">$M4/100*Q4</f>
        <v>0</v>
      </c>
      <c r="W4">
        <f t="shared" si="14"/>
        <v>0</v>
      </c>
      <c r="X4">
        <f t="shared" si="14"/>
        <v>0</v>
      </c>
      <c r="Y4">
        <f t="shared" si="14"/>
        <v>0</v>
      </c>
      <c r="Z4" s="40">
        <f>_xlfn.XLOOKUP(B4,'Raw Data'!$A$3:$A$360,'Raw Data'!$I$3:$I$360,0)</f>
        <v>0</v>
      </c>
      <c r="AA4">
        <f t="shared" si="6"/>
        <v>0</v>
      </c>
      <c r="AB4">
        <f>_xlfn.XLOOKUP(B4,'Raw Data'!$A$3:$A$360,'Raw Data'!$J$3:$J$360,0)</f>
        <v>0</v>
      </c>
      <c r="AC4">
        <f t="shared" si="7"/>
        <v>0</v>
      </c>
      <c r="AD4" s="40">
        <f>_xlfn.XLOOKUP($B4,'Raw Data'!$A$3:$A$360,'Raw Data'!$K$3:$K$360,0)</f>
        <v>0</v>
      </c>
      <c r="AE4">
        <f>_xlfn.XLOOKUP($B4,'Raw Data'!$A$3:$A$360,'Raw Data'!$L$3:$L$360,0)</f>
        <v>0</v>
      </c>
      <c r="AF4">
        <f>_xlfn.XLOOKUP($B4,'Raw Data'!$A$3:$A$360,'Raw Data'!$M$3:$M$360,0)</f>
        <v>0</v>
      </c>
      <c r="AG4">
        <f>_xlfn.XLOOKUP($B4,'Raw Data'!$A$3:$A$360,'Raw Data'!$N$3:$N$360,0)</f>
        <v>0</v>
      </c>
      <c r="AH4">
        <f>_xlfn.XLOOKUP($B4,'Raw Data'!$A$3:$A$360,'Raw Data'!$O$3:$O$360,0)</f>
        <v>0</v>
      </c>
      <c r="AI4">
        <f>_xlfn.XLOOKUP($B4,'Raw Data'!$A$3:$A$360,'Raw Data'!$P$3:$P$360,0)</f>
        <v>0</v>
      </c>
      <c r="AJ4">
        <f>_xlfn.XLOOKUP($B4,'Raw Data'!$A$3:$A$360,'Raw Data'!$Q$3:$Q$360,0)</f>
        <v>0</v>
      </c>
      <c r="AK4">
        <f>_xlfn.XLOOKUP($B4,'Raw Data'!$A$3:$A$360,'Raw Data'!$R$3:$R$360,0)</f>
        <v>0</v>
      </c>
      <c r="AL4">
        <f>_xlfn.XLOOKUP($B4,'Raw Data'!$A$3:$A$360,'Raw Data'!$S$3:$S$360,0)</f>
        <v>0</v>
      </c>
      <c r="AM4">
        <f>_xlfn.XLOOKUP($B4,'Raw Data'!$A$3:$A$360,'Raw Data'!$T$3:$T$360,0)</f>
        <v>0</v>
      </c>
      <c r="AN4" s="6">
        <f>_xlfn.XLOOKUP($B4,'Raw Data'!$A$3:$A$360,'Raw Data'!$U$3:$U$360,0)</f>
        <v>0</v>
      </c>
      <c r="AO4">
        <f>_xlfn.XLOOKUP($B4,'Raw Data'!$A$3:$A$360,'Raw Data'!$V$3:$V$360,0)</f>
        <v>0</v>
      </c>
      <c r="AP4">
        <f>_xlfn.XLOOKUP($B4,'Raw Data'!$A$3:$A$360,'Raw Data'!$W$3:$W$360,0)</f>
        <v>0</v>
      </c>
      <c r="AQ4">
        <f>_xlfn.XLOOKUP($B4,'Raw Data'!$A$3:$A$360,'Raw Data'!$X$3:$X$360,0)</f>
        <v>0</v>
      </c>
      <c r="AR4">
        <f>_xlfn.XLOOKUP($B4,'Raw Data'!$A$3:$A$360,'Raw Data'!$Y$3:$Y$360,0)</f>
        <v>0</v>
      </c>
      <c r="AS4" s="6">
        <f>_xlfn.XLOOKUP($B4,'Raw Data'!$A$3:$A$360,'Raw Data'!$Z$3:$Z$360,0)</f>
        <v>0</v>
      </c>
      <c r="AT4" s="40">
        <f>_xlfn.XLOOKUP($B4,'Raw Data'!$A$3:$A$360,'Raw Data'!$AA$3:$AA$360,0)</f>
        <v>0</v>
      </c>
      <c r="AU4">
        <f t="shared" si="8"/>
        <v>0</v>
      </c>
      <c r="AV4">
        <f>_xlfn.XLOOKUP($B4,'Raw Data'!$A$3:$A$360,'Raw Data'!$AB$3:$AB$360,0)</f>
        <v>0</v>
      </c>
      <c r="AW4">
        <f t="shared" si="12"/>
        <v>0</v>
      </c>
      <c r="AX4">
        <f>_xlfn.XLOOKUP($B4,'Raw Data'!$A$3:$A$360,'Raw Data'!$AC$3:$AC$360,0)</f>
        <v>0</v>
      </c>
      <c r="AY4">
        <f t="shared" si="9"/>
        <v>0</v>
      </c>
      <c r="AZ4">
        <f>_xlfn.XLOOKUP($B4,'Raw Data'!$A$3:$A$360,'Raw Data'!$AD$3:$AD$360,0)</f>
        <v>0</v>
      </c>
      <c r="BA4">
        <f t="shared" si="13"/>
        <v>0</v>
      </c>
      <c r="BB4">
        <f>_xlfn.XLOOKUP($B4,'Raw Data'!$A$3:$A$360,'Raw Data'!$AE$3:$AE$360,0)</f>
        <v>0</v>
      </c>
      <c r="BC4">
        <f>_xlfn.XLOOKUP($B4,'Raw Data'!$A$3:$A$360,'Raw Data'!$AF$3:$AF$360,0)</f>
        <v>0</v>
      </c>
      <c r="BD4">
        <f>_xlfn.XLOOKUP($B4,'Raw Data'!$A$3:$A$360,'Raw Data'!$AG$3:$AG$360,0)</f>
        <v>0</v>
      </c>
      <c r="BE4">
        <f>_xlfn.XLOOKUP($B4,'Raw Data'!$A$3:$A$360,'Raw Data'!$AH$3:$AH$360,0)</f>
        <v>0</v>
      </c>
      <c r="BF4">
        <f>_xlfn.XLOOKUP($B4,'Raw Data'!$A$3:$A$360,'Raw Data'!$AI$3:$AI$360,0)</f>
        <v>0</v>
      </c>
      <c r="BG4">
        <f>_xlfn.XLOOKUP($B4,'Raw Data'!$A$3:$A$360,'Raw Data'!$AJ$3:$AJ$360,0)</f>
        <v>0</v>
      </c>
    </row>
    <row r="5" spans="1:59" x14ac:dyDescent="0.3">
      <c r="A5">
        <v>4</v>
      </c>
      <c r="B5" s="13">
        <f>Dashboard!B10</f>
        <v>0</v>
      </c>
      <c r="C5">
        <f>Dashboard!D10</f>
        <v>0</v>
      </c>
      <c r="D5">
        <f>Dashboard!F10</f>
        <v>0</v>
      </c>
      <c r="E5">
        <f>Dashboard!H10</f>
        <v>0</v>
      </c>
      <c r="F5">
        <f>Dashboard!J10</f>
        <v>0</v>
      </c>
      <c r="G5">
        <f>IF(ISNA(Units!L7),0,Units!L7)</f>
        <v>0</v>
      </c>
      <c r="H5">
        <f t="shared" si="0"/>
        <v>0</v>
      </c>
      <c r="I5">
        <f>IF(ISNA(Units!L16),0,Units!L16)</f>
        <v>0</v>
      </c>
      <c r="J5">
        <f t="shared" si="1"/>
        <v>0</v>
      </c>
      <c r="K5">
        <f>_xlfn.XLOOKUP(B5,'Raw Data'!$A$3:$A$360,'Raw Data'!$G$3:$G$360,0)</f>
        <v>0</v>
      </c>
      <c r="L5">
        <f t="shared" si="2"/>
        <v>0</v>
      </c>
      <c r="M5">
        <f t="shared" si="3"/>
        <v>0</v>
      </c>
      <c r="N5">
        <f>_xlfn.XLOOKUP(B5,'Raw Data'!$A$3:$A$360,'Raw Data'!$H$3:$H$360,0)</f>
        <v>0</v>
      </c>
      <c r="O5">
        <f t="shared" si="4"/>
        <v>0</v>
      </c>
      <c r="P5">
        <f>_xlfn.XLOOKUP(B5,'Raw Data'!$A$3:$A$360,'Raw Data'!$B$3:$B$360,0)</f>
        <v>0</v>
      </c>
      <c r="Q5">
        <f>_xlfn.XLOOKUP(B5,'Raw Data'!$A$3:$A$360,'Raw Data'!$C$3:$C$360,0)</f>
        <v>0</v>
      </c>
      <c r="R5">
        <f>_xlfn.XLOOKUP(B5,'Raw Data'!$A$3:$A$360,'Raw Data'!$D$3:$D$360,0)</f>
        <v>0</v>
      </c>
      <c r="S5">
        <f>_xlfn.XLOOKUP(B5,'Raw Data'!$A$3:$A$360,'Raw Data'!$E$3:$E$360,0)</f>
        <v>0</v>
      </c>
      <c r="T5">
        <f>_xlfn.XLOOKUP(B5,'Raw Data'!$A$3:$A$360,'Raw Data'!$F$3:$F$360,0)</f>
        <v>0</v>
      </c>
      <c r="U5">
        <f t="shared" si="10"/>
        <v>0</v>
      </c>
      <c r="V5">
        <f t="shared" ref="V5:Y5" si="15">$M5/100*Q5</f>
        <v>0</v>
      </c>
      <c r="W5">
        <f t="shared" si="15"/>
        <v>0</v>
      </c>
      <c r="X5">
        <f t="shared" si="15"/>
        <v>0</v>
      </c>
      <c r="Y5">
        <f t="shared" si="15"/>
        <v>0</v>
      </c>
      <c r="Z5" s="40">
        <f>_xlfn.XLOOKUP(B5,'Raw Data'!$A$3:$A$360,'Raw Data'!$I$3:$I$360,0)</f>
        <v>0</v>
      </c>
      <c r="AA5">
        <f t="shared" si="6"/>
        <v>0</v>
      </c>
      <c r="AB5">
        <f>_xlfn.XLOOKUP(B5,'Raw Data'!$A$3:$A$360,'Raw Data'!$J$3:$J$360,0)</f>
        <v>0</v>
      </c>
      <c r="AC5">
        <f t="shared" si="7"/>
        <v>0</v>
      </c>
      <c r="AD5" s="40">
        <f>_xlfn.XLOOKUP($B5,'Raw Data'!$A$3:$A$360,'Raw Data'!$K$3:$K$360,0)</f>
        <v>0</v>
      </c>
      <c r="AE5">
        <f>_xlfn.XLOOKUP($B5,'Raw Data'!$A$3:$A$360,'Raw Data'!$L$3:$L$360,0)</f>
        <v>0</v>
      </c>
      <c r="AF5">
        <f>_xlfn.XLOOKUP($B5,'Raw Data'!$A$3:$A$360,'Raw Data'!$M$3:$M$360,0)</f>
        <v>0</v>
      </c>
      <c r="AG5">
        <f>_xlfn.XLOOKUP($B5,'Raw Data'!$A$3:$A$360,'Raw Data'!$N$3:$N$360,0)</f>
        <v>0</v>
      </c>
      <c r="AH5">
        <f>_xlfn.XLOOKUP($B5,'Raw Data'!$A$3:$A$360,'Raw Data'!$O$3:$O$360,0)</f>
        <v>0</v>
      </c>
      <c r="AI5">
        <f>_xlfn.XLOOKUP($B5,'Raw Data'!$A$3:$A$360,'Raw Data'!$P$3:$P$360,0)</f>
        <v>0</v>
      </c>
      <c r="AJ5">
        <f>_xlfn.XLOOKUP($B5,'Raw Data'!$A$3:$A$360,'Raw Data'!$Q$3:$Q$360,0)</f>
        <v>0</v>
      </c>
      <c r="AK5">
        <f>_xlfn.XLOOKUP($B5,'Raw Data'!$A$3:$A$360,'Raw Data'!$R$3:$R$360,0)</f>
        <v>0</v>
      </c>
      <c r="AL5">
        <f>_xlfn.XLOOKUP($B5,'Raw Data'!$A$3:$A$360,'Raw Data'!$S$3:$S$360,0)</f>
        <v>0</v>
      </c>
      <c r="AM5">
        <f>_xlfn.XLOOKUP($B5,'Raw Data'!$A$3:$A$360,'Raw Data'!$T$3:$T$360,0)</f>
        <v>0</v>
      </c>
      <c r="AN5" s="6">
        <f>_xlfn.XLOOKUP($B5,'Raw Data'!$A$3:$A$360,'Raw Data'!$U$3:$U$360,0)</f>
        <v>0</v>
      </c>
      <c r="AO5">
        <f>_xlfn.XLOOKUP($B5,'Raw Data'!$A$3:$A$360,'Raw Data'!$V$3:$V$360,0)</f>
        <v>0</v>
      </c>
      <c r="AP5">
        <f>_xlfn.XLOOKUP($B5,'Raw Data'!$A$3:$A$360,'Raw Data'!$W$3:$W$360,0)</f>
        <v>0</v>
      </c>
      <c r="AQ5">
        <f>_xlfn.XLOOKUP($B5,'Raw Data'!$A$3:$A$360,'Raw Data'!$X$3:$X$360,0)</f>
        <v>0</v>
      </c>
      <c r="AR5">
        <f>_xlfn.XLOOKUP($B5,'Raw Data'!$A$3:$A$360,'Raw Data'!$Y$3:$Y$360,0)</f>
        <v>0</v>
      </c>
      <c r="AS5" s="6">
        <f>_xlfn.XLOOKUP($B5,'Raw Data'!$A$3:$A$360,'Raw Data'!$Z$3:$Z$360,0)</f>
        <v>0</v>
      </c>
      <c r="AT5" s="40">
        <f>_xlfn.XLOOKUP($B5,'Raw Data'!$A$3:$A$360,'Raw Data'!$AA$3:$AA$360,0)</f>
        <v>0</v>
      </c>
      <c r="AU5">
        <f t="shared" si="8"/>
        <v>0</v>
      </c>
      <c r="AV5">
        <f>_xlfn.XLOOKUP($B5,'Raw Data'!$A$3:$A$360,'Raw Data'!$AB$3:$AB$360,0)</f>
        <v>0</v>
      </c>
      <c r="AW5">
        <f t="shared" si="12"/>
        <v>0</v>
      </c>
      <c r="AX5">
        <f>_xlfn.XLOOKUP($B5,'Raw Data'!$A$3:$A$360,'Raw Data'!$AC$3:$AC$360,0)</f>
        <v>0</v>
      </c>
      <c r="AY5">
        <f t="shared" si="9"/>
        <v>0</v>
      </c>
      <c r="AZ5">
        <f>_xlfn.XLOOKUP($B5,'Raw Data'!$A$3:$A$360,'Raw Data'!$AD$3:$AD$360,0)</f>
        <v>0</v>
      </c>
      <c r="BA5">
        <f t="shared" si="13"/>
        <v>0</v>
      </c>
      <c r="BB5">
        <f>_xlfn.XLOOKUP($B5,'Raw Data'!$A$3:$A$360,'Raw Data'!$AE$3:$AE$360,0)</f>
        <v>0</v>
      </c>
      <c r="BC5">
        <f>_xlfn.XLOOKUP($B5,'Raw Data'!$A$3:$A$360,'Raw Data'!$AF$3:$AF$360,0)</f>
        <v>0</v>
      </c>
      <c r="BD5">
        <f>_xlfn.XLOOKUP($B5,'Raw Data'!$A$3:$A$360,'Raw Data'!$AG$3:$AG$360,0)</f>
        <v>0</v>
      </c>
      <c r="BE5">
        <f>_xlfn.XLOOKUP($B5,'Raw Data'!$A$3:$A$360,'Raw Data'!$AH$3:$AH$360,0)</f>
        <v>0</v>
      </c>
      <c r="BF5">
        <f>_xlfn.XLOOKUP($B5,'Raw Data'!$A$3:$A$360,'Raw Data'!$AI$3:$AI$360,0)</f>
        <v>0</v>
      </c>
      <c r="BG5">
        <f>_xlfn.XLOOKUP($B5,'Raw Data'!$A$3:$A$360,'Raw Data'!$AJ$3:$AJ$360,0)</f>
        <v>0</v>
      </c>
    </row>
    <row r="6" spans="1:59" x14ac:dyDescent="0.3">
      <c r="A6">
        <v>5</v>
      </c>
      <c r="B6" s="13">
        <f>Dashboard!B12</f>
        <v>0</v>
      </c>
      <c r="C6">
        <f>Dashboard!D12</f>
        <v>0</v>
      </c>
      <c r="D6">
        <f>Dashboard!F12</f>
        <v>0</v>
      </c>
      <c r="E6">
        <f>Dashboard!H12</f>
        <v>0</v>
      </c>
      <c r="F6">
        <f>Dashboard!J12</f>
        <v>0</v>
      </c>
      <c r="G6">
        <f>IF(ISNA(Units!N7),0,Units!N7)</f>
        <v>0</v>
      </c>
      <c r="H6">
        <f t="shared" si="0"/>
        <v>0</v>
      </c>
      <c r="I6">
        <f>IF(ISNA(Units!N16),0,Units!N16)</f>
        <v>0</v>
      </c>
      <c r="J6">
        <f t="shared" si="1"/>
        <v>0</v>
      </c>
      <c r="K6">
        <f>_xlfn.XLOOKUP(B6,'Raw Data'!$A$3:$A$360,'Raw Data'!$G$3:$G$360,0)</f>
        <v>0</v>
      </c>
      <c r="L6">
        <f t="shared" si="2"/>
        <v>0</v>
      </c>
      <c r="M6">
        <f t="shared" si="3"/>
        <v>0</v>
      </c>
      <c r="N6">
        <f>_xlfn.XLOOKUP(B6,'Raw Data'!$A$3:$A$360,'Raw Data'!$H$3:$H$360,0)</f>
        <v>0</v>
      </c>
      <c r="O6">
        <f t="shared" si="4"/>
        <v>0</v>
      </c>
      <c r="P6">
        <f>_xlfn.XLOOKUP(B6,'Raw Data'!$A$3:$A$360,'Raw Data'!$B$3:$B$360,0)</f>
        <v>0</v>
      </c>
      <c r="Q6">
        <f>_xlfn.XLOOKUP(B6,'Raw Data'!$A$3:$A$360,'Raw Data'!$C$3:$C$360,0)</f>
        <v>0</v>
      </c>
      <c r="R6">
        <f>_xlfn.XLOOKUP(B6,'Raw Data'!$A$3:$A$360,'Raw Data'!$D$3:$D$360,0)</f>
        <v>0</v>
      </c>
      <c r="S6">
        <f>_xlfn.XLOOKUP(B6,'Raw Data'!$A$3:$A$360,'Raw Data'!$E$3:$E$360,0)</f>
        <v>0</v>
      </c>
      <c r="T6">
        <f>_xlfn.XLOOKUP(B6,'Raw Data'!$A$3:$A$360,'Raw Data'!$F$3:$F$360,0)</f>
        <v>0</v>
      </c>
      <c r="U6">
        <f t="shared" si="10"/>
        <v>0</v>
      </c>
      <c r="V6">
        <f t="shared" ref="V6:Y6" si="16">$M6/100*Q6</f>
        <v>0</v>
      </c>
      <c r="W6">
        <f t="shared" si="16"/>
        <v>0</v>
      </c>
      <c r="X6">
        <f t="shared" si="16"/>
        <v>0</v>
      </c>
      <c r="Y6">
        <f t="shared" si="16"/>
        <v>0</v>
      </c>
      <c r="Z6" s="40">
        <f>_xlfn.XLOOKUP(B6,'Raw Data'!$A$3:$A$360,'Raw Data'!$I$3:$I$360,0)</f>
        <v>0</v>
      </c>
      <c r="AA6">
        <f t="shared" si="6"/>
        <v>0</v>
      </c>
      <c r="AB6">
        <f>_xlfn.XLOOKUP(B6,'Raw Data'!$A$3:$A$360,'Raw Data'!$J$3:$J$360,0)</f>
        <v>0</v>
      </c>
      <c r="AC6">
        <f t="shared" si="7"/>
        <v>0</v>
      </c>
      <c r="AD6" s="40">
        <f>_xlfn.XLOOKUP($B6,'Raw Data'!$A$3:$A$360,'Raw Data'!$K$3:$K$360,0)</f>
        <v>0</v>
      </c>
      <c r="AE6">
        <f>_xlfn.XLOOKUP($B6,'Raw Data'!$A$3:$A$360,'Raw Data'!$L$3:$L$360,0)</f>
        <v>0</v>
      </c>
      <c r="AF6">
        <f>_xlfn.XLOOKUP($B6,'Raw Data'!$A$3:$A$360,'Raw Data'!$M$3:$M$360,0)</f>
        <v>0</v>
      </c>
      <c r="AG6">
        <f>_xlfn.XLOOKUP($B6,'Raw Data'!$A$3:$A$360,'Raw Data'!$N$3:$N$360,0)</f>
        <v>0</v>
      </c>
      <c r="AH6">
        <f>_xlfn.XLOOKUP($B6,'Raw Data'!$A$3:$A$360,'Raw Data'!$O$3:$O$360,0)</f>
        <v>0</v>
      </c>
      <c r="AI6">
        <f>_xlfn.XLOOKUP($B6,'Raw Data'!$A$3:$A$360,'Raw Data'!$P$3:$P$360,0)</f>
        <v>0</v>
      </c>
      <c r="AJ6">
        <f>_xlfn.XLOOKUP($B6,'Raw Data'!$A$3:$A$360,'Raw Data'!$Q$3:$Q$360,0)</f>
        <v>0</v>
      </c>
      <c r="AK6">
        <f>_xlfn.XLOOKUP($B6,'Raw Data'!$A$3:$A$360,'Raw Data'!$R$3:$R$360,0)</f>
        <v>0</v>
      </c>
      <c r="AL6">
        <f>_xlfn.XLOOKUP($B6,'Raw Data'!$A$3:$A$360,'Raw Data'!$S$3:$S$360,0)</f>
        <v>0</v>
      </c>
      <c r="AM6">
        <f>_xlfn.XLOOKUP($B6,'Raw Data'!$A$3:$A$360,'Raw Data'!$T$3:$T$360,0)</f>
        <v>0</v>
      </c>
      <c r="AN6" s="6">
        <f>_xlfn.XLOOKUP($B6,'Raw Data'!$A$3:$A$360,'Raw Data'!$U$3:$U$360,0)</f>
        <v>0</v>
      </c>
      <c r="AO6">
        <f>_xlfn.XLOOKUP($B6,'Raw Data'!$A$3:$A$360,'Raw Data'!$V$3:$V$360,0)</f>
        <v>0</v>
      </c>
      <c r="AP6">
        <f>_xlfn.XLOOKUP($B6,'Raw Data'!$A$3:$A$360,'Raw Data'!$W$3:$W$360,0)</f>
        <v>0</v>
      </c>
      <c r="AQ6">
        <f>_xlfn.XLOOKUP($B6,'Raw Data'!$A$3:$A$360,'Raw Data'!$X$3:$X$360,0)</f>
        <v>0</v>
      </c>
      <c r="AR6">
        <f>_xlfn.XLOOKUP($B6,'Raw Data'!$A$3:$A$360,'Raw Data'!$Y$3:$Y$360,0)</f>
        <v>0</v>
      </c>
      <c r="AS6" s="6">
        <f>_xlfn.XLOOKUP($B6,'Raw Data'!$A$3:$A$360,'Raw Data'!$Z$3:$Z$360,0)</f>
        <v>0</v>
      </c>
      <c r="AT6" s="40">
        <f>_xlfn.XLOOKUP($B6,'Raw Data'!$A$3:$A$360,'Raw Data'!$AA$3:$AA$360,0)</f>
        <v>0</v>
      </c>
      <c r="AU6">
        <f t="shared" si="8"/>
        <v>0</v>
      </c>
      <c r="AV6">
        <f>_xlfn.XLOOKUP($B6,'Raw Data'!$A$3:$A$360,'Raw Data'!$AB$3:$AB$360,0)</f>
        <v>0</v>
      </c>
      <c r="AW6">
        <f t="shared" si="12"/>
        <v>0</v>
      </c>
      <c r="AX6">
        <f>_xlfn.XLOOKUP($B6,'Raw Data'!$A$3:$A$360,'Raw Data'!$AC$3:$AC$360,0)</f>
        <v>0</v>
      </c>
      <c r="AY6">
        <f t="shared" si="9"/>
        <v>0</v>
      </c>
      <c r="AZ6">
        <f>_xlfn.XLOOKUP($B6,'Raw Data'!$A$3:$A$360,'Raw Data'!$AD$3:$AD$360,0)</f>
        <v>0</v>
      </c>
      <c r="BA6">
        <f t="shared" si="13"/>
        <v>0</v>
      </c>
      <c r="BB6">
        <f>_xlfn.XLOOKUP($B6,'Raw Data'!$A$3:$A$360,'Raw Data'!$AE$3:$AE$360,0)</f>
        <v>0</v>
      </c>
      <c r="BC6">
        <f>_xlfn.XLOOKUP($B6,'Raw Data'!$A$3:$A$360,'Raw Data'!$AF$3:$AF$360,0)</f>
        <v>0</v>
      </c>
      <c r="BD6">
        <f>_xlfn.XLOOKUP($B6,'Raw Data'!$A$3:$A$360,'Raw Data'!$AG$3:$AG$360,0)</f>
        <v>0</v>
      </c>
      <c r="BE6">
        <f>_xlfn.XLOOKUP($B6,'Raw Data'!$A$3:$A$360,'Raw Data'!$AH$3:$AH$360,0)</f>
        <v>0</v>
      </c>
      <c r="BF6">
        <f>_xlfn.XLOOKUP($B6,'Raw Data'!$A$3:$A$360,'Raw Data'!$AI$3:$AI$360,0)</f>
        <v>0</v>
      </c>
      <c r="BG6">
        <f>_xlfn.XLOOKUP($B6,'Raw Data'!$A$3:$A$360,'Raw Data'!$AJ$3:$AJ$360,0)</f>
        <v>0</v>
      </c>
    </row>
    <row r="7" spans="1:59" x14ac:dyDescent="0.3">
      <c r="A7">
        <v>6</v>
      </c>
      <c r="B7" s="13">
        <f>Dashboard!B14</f>
        <v>0</v>
      </c>
      <c r="C7">
        <f>Dashboard!D14</f>
        <v>0</v>
      </c>
      <c r="D7">
        <f>Dashboard!F14</f>
        <v>0</v>
      </c>
      <c r="E7">
        <f>Dashboard!H14</f>
        <v>0</v>
      </c>
      <c r="F7">
        <f>Dashboard!J14</f>
        <v>0</v>
      </c>
      <c r="G7">
        <f>IF(ISNA(Units!P7),0,Units!P7)</f>
        <v>0</v>
      </c>
      <c r="H7">
        <f t="shared" si="0"/>
        <v>0</v>
      </c>
      <c r="I7">
        <f>IF(ISNA(Units!P16),0,Units!P16)</f>
        <v>0</v>
      </c>
      <c r="J7">
        <f t="shared" si="1"/>
        <v>0</v>
      </c>
      <c r="K7">
        <f>_xlfn.XLOOKUP(B7,'Raw Data'!$A$3:$A$360,'Raw Data'!$G$3:$G$360,0)</f>
        <v>0</v>
      </c>
      <c r="L7">
        <f t="shared" si="2"/>
        <v>0</v>
      </c>
      <c r="M7">
        <f t="shared" si="3"/>
        <v>0</v>
      </c>
      <c r="N7">
        <f>_xlfn.XLOOKUP(B7,'Raw Data'!$A$3:$A$360,'Raw Data'!$H$3:$H$360,0)</f>
        <v>0</v>
      </c>
      <c r="O7">
        <f t="shared" si="4"/>
        <v>0</v>
      </c>
      <c r="P7">
        <f>_xlfn.XLOOKUP(B7,'Raw Data'!$A$3:$A$360,'Raw Data'!$B$3:$B$360,0)</f>
        <v>0</v>
      </c>
      <c r="Q7">
        <f>_xlfn.XLOOKUP(B7,'Raw Data'!$A$3:$A$360,'Raw Data'!$C$3:$C$360,0)</f>
        <v>0</v>
      </c>
      <c r="R7">
        <f>_xlfn.XLOOKUP(B7,'Raw Data'!$A$3:$A$360,'Raw Data'!$D$3:$D$360,0)</f>
        <v>0</v>
      </c>
      <c r="S7">
        <f>_xlfn.XLOOKUP(B7,'Raw Data'!$A$3:$A$360,'Raw Data'!$E$3:$E$360,0)</f>
        <v>0</v>
      </c>
      <c r="T7">
        <f>_xlfn.XLOOKUP(B7,'Raw Data'!$A$3:$A$360,'Raw Data'!$F$3:$F$360,0)</f>
        <v>0</v>
      </c>
      <c r="U7">
        <f t="shared" si="10"/>
        <v>0</v>
      </c>
      <c r="V7">
        <f t="shared" ref="V7:Y7" si="17">$M7/100*Q7</f>
        <v>0</v>
      </c>
      <c r="W7">
        <f t="shared" si="17"/>
        <v>0</v>
      </c>
      <c r="X7">
        <f t="shared" si="17"/>
        <v>0</v>
      </c>
      <c r="Y7">
        <f t="shared" si="17"/>
        <v>0</v>
      </c>
      <c r="Z7" s="40">
        <f>_xlfn.XLOOKUP(B7,'Raw Data'!$A$3:$A$360,'Raw Data'!$I$3:$I$360,0)</f>
        <v>0</v>
      </c>
      <c r="AA7">
        <f t="shared" si="6"/>
        <v>0</v>
      </c>
      <c r="AB7">
        <f>_xlfn.XLOOKUP(B7,'Raw Data'!$A$3:$A$360,'Raw Data'!$J$3:$J$360,0)</f>
        <v>0</v>
      </c>
      <c r="AC7">
        <f t="shared" si="7"/>
        <v>0</v>
      </c>
      <c r="AD7" s="40">
        <f>_xlfn.XLOOKUP($B7,'Raw Data'!$A$3:$A$360,'Raw Data'!$K$3:$K$360,0)</f>
        <v>0</v>
      </c>
      <c r="AE7">
        <f>_xlfn.XLOOKUP($B7,'Raw Data'!$A$3:$A$360,'Raw Data'!$L$3:$L$360,0)</f>
        <v>0</v>
      </c>
      <c r="AF7">
        <f>_xlfn.XLOOKUP($B7,'Raw Data'!$A$3:$A$360,'Raw Data'!$M$3:$M$360,0)</f>
        <v>0</v>
      </c>
      <c r="AG7">
        <f>_xlfn.XLOOKUP($B7,'Raw Data'!$A$3:$A$360,'Raw Data'!$N$3:$N$360,0)</f>
        <v>0</v>
      </c>
      <c r="AH7">
        <f>_xlfn.XLOOKUP($B7,'Raw Data'!$A$3:$A$360,'Raw Data'!$O$3:$O$360,0)</f>
        <v>0</v>
      </c>
      <c r="AI7">
        <f>_xlfn.XLOOKUP($B7,'Raw Data'!$A$3:$A$360,'Raw Data'!$P$3:$P$360,0)</f>
        <v>0</v>
      </c>
      <c r="AJ7">
        <f>_xlfn.XLOOKUP($B7,'Raw Data'!$A$3:$A$360,'Raw Data'!$Q$3:$Q$360,0)</f>
        <v>0</v>
      </c>
      <c r="AK7">
        <f>_xlfn.XLOOKUP($B7,'Raw Data'!$A$3:$A$360,'Raw Data'!$R$3:$R$360,0)</f>
        <v>0</v>
      </c>
      <c r="AL7">
        <f>_xlfn.XLOOKUP($B7,'Raw Data'!$A$3:$A$360,'Raw Data'!$S$3:$S$360,0)</f>
        <v>0</v>
      </c>
      <c r="AM7">
        <f>_xlfn.XLOOKUP($B7,'Raw Data'!$A$3:$A$360,'Raw Data'!$T$3:$T$360,0)</f>
        <v>0</v>
      </c>
      <c r="AN7" s="6">
        <f>_xlfn.XLOOKUP($B7,'Raw Data'!$A$3:$A$360,'Raw Data'!$U$3:$U$360,0)</f>
        <v>0</v>
      </c>
      <c r="AO7">
        <f>_xlfn.XLOOKUP($B7,'Raw Data'!$A$3:$A$360,'Raw Data'!$V$3:$V$360,0)</f>
        <v>0</v>
      </c>
      <c r="AP7">
        <f>_xlfn.XLOOKUP($B7,'Raw Data'!$A$3:$A$360,'Raw Data'!$W$3:$W$360,0)</f>
        <v>0</v>
      </c>
      <c r="AQ7">
        <f>_xlfn.XLOOKUP($B7,'Raw Data'!$A$3:$A$360,'Raw Data'!$X$3:$X$360,0)</f>
        <v>0</v>
      </c>
      <c r="AR7">
        <f>_xlfn.XLOOKUP($B7,'Raw Data'!$A$3:$A$360,'Raw Data'!$Y$3:$Y$360,0)</f>
        <v>0</v>
      </c>
      <c r="AS7" s="6">
        <f>_xlfn.XLOOKUP($B7,'Raw Data'!$A$3:$A$360,'Raw Data'!$Z$3:$Z$360,0)</f>
        <v>0</v>
      </c>
      <c r="AT7" s="40">
        <f>_xlfn.XLOOKUP($B7,'Raw Data'!$A$3:$A$360,'Raw Data'!$AA$3:$AA$360,0)</f>
        <v>0</v>
      </c>
      <c r="AU7">
        <f t="shared" si="8"/>
        <v>0</v>
      </c>
      <c r="AV7">
        <f>_xlfn.XLOOKUP($B7,'Raw Data'!$A$3:$A$360,'Raw Data'!$AB$3:$AB$360,0)</f>
        <v>0</v>
      </c>
      <c r="AW7">
        <f t="shared" si="12"/>
        <v>0</v>
      </c>
      <c r="AX7">
        <f>_xlfn.XLOOKUP($B7,'Raw Data'!$A$3:$A$360,'Raw Data'!$AC$3:$AC$360,0)</f>
        <v>0</v>
      </c>
      <c r="AY7">
        <f t="shared" si="9"/>
        <v>0</v>
      </c>
      <c r="AZ7">
        <f>_xlfn.XLOOKUP($B7,'Raw Data'!$A$3:$A$360,'Raw Data'!$AD$3:$AD$360,0)</f>
        <v>0</v>
      </c>
      <c r="BA7">
        <f t="shared" si="13"/>
        <v>0</v>
      </c>
      <c r="BB7">
        <f>_xlfn.XLOOKUP($B7,'Raw Data'!$A$3:$A$360,'Raw Data'!$AE$3:$AE$360,0)</f>
        <v>0</v>
      </c>
      <c r="BC7">
        <f>_xlfn.XLOOKUP($B7,'Raw Data'!$A$3:$A$360,'Raw Data'!$AF$3:$AF$360,0)</f>
        <v>0</v>
      </c>
      <c r="BD7">
        <f>_xlfn.XLOOKUP($B7,'Raw Data'!$A$3:$A$360,'Raw Data'!$AG$3:$AG$360,0)</f>
        <v>0</v>
      </c>
      <c r="BE7">
        <f>_xlfn.XLOOKUP($B7,'Raw Data'!$A$3:$A$360,'Raw Data'!$AH$3:$AH$360,0)</f>
        <v>0</v>
      </c>
      <c r="BF7">
        <f>_xlfn.XLOOKUP($B7,'Raw Data'!$A$3:$A$360,'Raw Data'!$AI$3:$AI$360,0)</f>
        <v>0</v>
      </c>
      <c r="BG7">
        <f>_xlfn.XLOOKUP($B7,'Raw Data'!$A$3:$A$360,'Raw Data'!$AJ$3:$AJ$360,0)</f>
        <v>0</v>
      </c>
    </row>
    <row r="8" spans="1:59" x14ac:dyDescent="0.3">
      <c r="A8">
        <v>7</v>
      </c>
      <c r="B8" s="13">
        <f>Dashboard!B16</f>
        <v>0</v>
      </c>
      <c r="C8">
        <f>Dashboard!D16</f>
        <v>0</v>
      </c>
      <c r="D8">
        <f>Dashboard!F16</f>
        <v>0</v>
      </c>
      <c r="E8">
        <f>Dashboard!H16</f>
        <v>0</v>
      </c>
      <c r="F8">
        <f>Dashboard!J16</f>
        <v>0</v>
      </c>
      <c r="G8">
        <f>IF(ISNA(Units!R7),0,Units!R7)</f>
        <v>0</v>
      </c>
      <c r="H8">
        <f t="shared" si="0"/>
        <v>0</v>
      </c>
      <c r="I8">
        <f>IF(ISNA(Units!R16),0,Units!R16)</f>
        <v>0</v>
      </c>
      <c r="J8">
        <f t="shared" si="1"/>
        <v>0</v>
      </c>
      <c r="K8">
        <f>_xlfn.XLOOKUP(B8,'Raw Data'!$A$3:$A$360,'Raw Data'!$G$3:$G$360,0)</f>
        <v>0</v>
      </c>
      <c r="L8">
        <f t="shared" si="2"/>
        <v>0</v>
      </c>
      <c r="M8">
        <f t="shared" si="3"/>
        <v>0</v>
      </c>
      <c r="N8">
        <f>_xlfn.XLOOKUP(B8,'Raw Data'!$A$3:$A$360,'Raw Data'!$H$3:$H$360,0)</f>
        <v>0</v>
      </c>
      <c r="O8">
        <f t="shared" si="4"/>
        <v>0</v>
      </c>
      <c r="P8">
        <f>_xlfn.XLOOKUP(B8,'Raw Data'!$A$3:$A$360,'Raw Data'!$B$3:$B$360,0)</f>
        <v>0</v>
      </c>
      <c r="Q8">
        <f>_xlfn.XLOOKUP(B8,'Raw Data'!$A$3:$A$360,'Raw Data'!$C$3:$C$360,0)</f>
        <v>0</v>
      </c>
      <c r="R8">
        <f>_xlfn.XLOOKUP(B8,'Raw Data'!$A$3:$A$360,'Raw Data'!$D$3:$D$360,0)</f>
        <v>0</v>
      </c>
      <c r="S8">
        <f>_xlfn.XLOOKUP(B8,'Raw Data'!$A$3:$A$360,'Raw Data'!$E$3:$E$360,0)</f>
        <v>0</v>
      </c>
      <c r="T8">
        <f>_xlfn.XLOOKUP(B8,'Raw Data'!$A$3:$A$360,'Raw Data'!$F$3:$F$360,0)</f>
        <v>0</v>
      </c>
      <c r="U8">
        <f t="shared" si="10"/>
        <v>0</v>
      </c>
      <c r="V8">
        <f t="shared" ref="V8:Y8" si="18">$M8/100*Q8</f>
        <v>0</v>
      </c>
      <c r="W8">
        <f t="shared" si="18"/>
        <v>0</v>
      </c>
      <c r="X8">
        <f t="shared" si="18"/>
        <v>0</v>
      </c>
      <c r="Y8">
        <f t="shared" si="18"/>
        <v>0</v>
      </c>
      <c r="Z8" s="40">
        <f>_xlfn.XLOOKUP(B8,'Raw Data'!$A$3:$A$360,'Raw Data'!$I$3:$I$360,0)</f>
        <v>0</v>
      </c>
      <c r="AA8">
        <f t="shared" si="6"/>
        <v>0</v>
      </c>
      <c r="AB8">
        <f>_xlfn.XLOOKUP(B8,'Raw Data'!$A$3:$A$360,'Raw Data'!$J$3:$J$360,0)</f>
        <v>0</v>
      </c>
      <c r="AC8">
        <f t="shared" si="7"/>
        <v>0</v>
      </c>
      <c r="AD8" s="40">
        <f>_xlfn.XLOOKUP($B8,'Raw Data'!$A$3:$A$360,'Raw Data'!$K$3:$K$360,0)</f>
        <v>0</v>
      </c>
      <c r="AE8">
        <f>_xlfn.XLOOKUP($B8,'Raw Data'!$A$3:$A$360,'Raw Data'!$L$3:$L$360,0)</f>
        <v>0</v>
      </c>
      <c r="AF8">
        <f>_xlfn.XLOOKUP($B8,'Raw Data'!$A$3:$A$360,'Raw Data'!$M$3:$M$360,0)</f>
        <v>0</v>
      </c>
      <c r="AG8">
        <f>_xlfn.XLOOKUP($B8,'Raw Data'!$A$3:$A$360,'Raw Data'!$N$3:$N$360,0)</f>
        <v>0</v>
      </c>
      <c r="AH8">
        <f>_xlfn.XLOOKUP($B8,'Raw Data'!$A$3:$A$360,'Raw Data'!$O$3:$O$360,0)</f>
        <v>0</v>
      </c>
      <c r="AI8">
        <f>_xlfn.XLOOKUP($B8,'Raw Data'!$A$3:$A$360,'Raw Data'!$P$3:$P$360,0)</f>
        <v>0</v>
      </c>
      <c r="AJ8">
        <f>_xlfn.XLOOKUP($B8,'Raw Data'!$A$3:$A$360,'Raw Data'!$Q$3:$Q$360,0)</f>
        <v>0</v>
      </c>
      <c r="AK8">
        <f>_xlfn.XLOOKUP($B8,'Raw Data'!$A$3:$A$360,'Raw Data'!$R$3:$R$360,0)</f>
        <v>0</v>
      </c>
      <c r="AL8">
        <f>_xlfn.XLOOKUP($B8,'Raw Data'!$A$3:$A$360,'Raw Data'!$S$3:$S$360,0)</f>
        <v>0</v>
      </c>
      <c r="AM8">
        <f>_xlfn.XLOOKUP($B8,'Raw Data'!$A$3:$A$360,'Raw Data'!$T$3:$T$360,0)</f>
        <v>0</v>
      </c>
      <c r="AN8" s="6">
        <f>_xlfn.XLOOKUP($B8,'Raw Data'!$A$3:$A$360,'Raw Data'!$U$3:$U$360,0)</f>
        <v>0</v>
      </c>
      <c r="AO8">
        <f>_xlfn.XLOOKUP($B8,'Raw Data'!$A$3:$A$360,'Raw Data'!$V$3:$V$360,0)</f>
        <v>0</v>
      </c>
      <c r="AP8">
        <f>_xlfn.XLOOKUP($B8,'Raw Data'!$A$3:$A$360,'Raw Data'!$W$3:$W$360,0)</f>
        <v>0</v>
      </c>
      <c r="AQ8">
        <f>_xlfn.XLOOKUP($B8,'Raw Data'!$A$3:$A$360,'Raw Data'!$X$3:$X$360,0)</f>
        <v>0</v>
      </c>
      <c r="AR8">
        <f>_xlfn.XLOOKUP($B8,'Raw Data'!$A$3:$A$360,'Raw Data'!$Y$3:$Y$360,0)</f>
        <v>0</v>
      </c>
      <c r="AS8" s="6">
        <f>_xlfn.XLOOKUP($B8,'Raw Data'!$A$3:$A$360,'Raw Data'!$Z$3:$Z$360,0)</f>
        <v>0</v>
      </c>
      <c r="AT8" s="40">
        <f>_xlfn.XLOOKUP($B8,'Raw Data'!$A$3:$A$360,'Raw Data'!$AA$3:$AA$360,0)</f>
        <v>0</v>
      </c>
      <c r="AU8">
        <f t="shared" si="8"/>
        <v>0</v>
      </c>
      <c r="AV8">
        <f>_xlfn.XLOOKUP($B8,'Raw Data'!$A$3:$A$360,'Raw Data'!$AB$3:$AB$360,0)</f>
        <v>0</v>
      </c>
      <c r="AW8">
        <f t="shared" si="12"/>
        <v>0</v>
      </c>
      <c r="AX8">
        <f>_xlfn.XLOOKUP($B8,'Raw Data'!$A$3:$A$360,'Raw Data'!$AC$3:$AC$360,0)</f>
        <v>0</v>
      </c>
      <c r="AY8">
        <f t="shared" si="9"/>
        <v>0</v>
      </c>
      <c r="AZ8">
        <f>_xlfn.XLOOKUP($B8,'Raw Data'!$A$3:$A$360,'Raw Data'!$AD$3:$AD$360,0)</f>
        <v>0</v>
      </c>
      <c r="BA8">
        <f t="shared" si="13"/>
        <v>0</v>
      </c>
      <c r="BB8">
        <f>_xlfn.XLOOKUP($B8,'Raw Data'!$A$3:$A$360,'Raw Data'!$AE$3:$AE$360,0)</f>
        <v>0</v>
      </c>
      <c r="BC8">
        <f>_xlfn.XLOOKUP($B8,'Raw Data'!$A$3:$A$360,'Raw Data'!$AF$3:$AF$360,0)</f>
        <v>0</v>
      </c>
      <c r="BD8">
        <f>_xlfn.XLOOKUP($B8,'Raw Data'!$A$3:$A$360,'Raw Data'!$AG$3:$AG$360,0)</f>
        <v>0</v>
      </c>
      <c r="BE8">
        <f>_xlfn.XLOOKUP($B8,'Raw Data'!$A$3:$A$360,'Raw Data'!$AH$3:$AH$360,0)</f>
        <v>0</v>
      </c>
      <c r="BF8">
        <f>_xlfn.XLOOKUP($B8,'Raw Data'!$A$3:$A$360,'Raw Data'!$AI$3:$AI$360,0)</f>
        <v>0</v>
      </c>
      <c r="BG8">
        <f>_xlfn.XLOOKUP($B8,'Raw Data'!$A$3:$A$360,'Raw Data'!$AJ$3:$AJ$360,0)</f>
        <v>0</v>
      </c>
    </row>
    <row r="9" spans="1:59" x14ac:dyDescent="0.3">
      <c r="A9">
        <v>8</v>
      </c>
      <c r="B9" s="13">
        <f>Dashboard!B18</f>
        <v>0</v>
      </c>
      <c r="C9">
        <f>Dashboard!D18</f>
        <v>0</v>
      </c>
      <c r="D9">
        <f>Dashboard!F18</f>
        <v>0</v>
      </c>
      <c r="E9">
        <f>Dashboard!H18</f>
        <v>0</v>
      </c>
      <c r="F9">
        <f>Dashboard!J18</f>
        <v>0</v>
      </c>
      <c r="G9">
        <f>IF(ISNA(Units!T7),0,Units!T7)</f>
        <v>0</v>
      </c>
      <c r="H9">
        <f t="shared" si="0"/>
        <v>0</v>
      </c>
      <c r="I9">
        <f>IF(ISNA(Units!T16),0,Units!T16)</f>
        <v>0</v>
      </c>
      <c r="J9">
        <f t="shared" si="1"/>
        <v>0</v>
      </c>
      <c r="K9">
        <f>_xlfn.XLOOKUP(B9,'Raw Data'!$A$3:$A$360,'Raw Data'!$G$3:$G$360,0)</f>
        <v>0</v>
      </c>
      <c r="L9">
        <f t="shared" si="2"/>
        <v>0</v>
      </c>
      <c r="M9">
        <f t="shared" si="3"/>
        <v>0</v>
      </c>
      <c r="N9">
        <f>_xlfn.XLOOKUP(B9,'Raw Data'!$A$3:$A$360,'Raw Data'!$H$3:$H$360,0)</f>
        <v>0</v>
      </c>
      <c r="O9">
        <f t="shared" si="4"/>
        <v>0</v>
      </c>
      <c r="P9">
        <f>_xlfn.XLOOKUP(B9,'Raw Data'!$A$3:$A$360,'Raw Data'!$B$3:$B$360,0)</f>
        <v>0</v>
      </c>
      <c r="Q9">
        <f>_xlfn.XLOOKUP(B9,'Raw Data'!$A$3:$A$360,'Raw Data'!$C$3:$C$360,0)</f>
        <v>0</v>
      </c>
      <c r="R9">
        <f>_xlfn.XLOOKUP(B9,'Raw Data'!$A$3:$A$360,'Raw Data'!$D$3:$D$360,0)</f>
        <v>0</v>
      </c>
      <c r="S9">
        <f>_xlfn.XLOOKUP(B9,'Raw Data'!$A$3:$A$360,'Raw Data'!$E$3:$E$360,0)</f>
        <v>0</v>
      </c>
      <c r="T9">
        <f>_xlfn.XLOOKUP(B9,'Raw Data'!$A$3:$A$360,'Raw Data'!$F$3:$F$360,0)</f>
        <v>0</v>
      </c>
      <c r="U9">
        <f t="shared" si="10"/>
        <v>0</v>
      </c>
      <c r="V9">
        <f t="shared" ref="V9:Y9" si="19">$M9/100*Q9</f>
        <v>0</v>
      </c>
      <c r="W9">
        <f t="shared" si="19"/>
        <v>0</v>
      </c>
      <c r="X9">
        <f t="shared" si="19"/>
        <v>0</v>
      </c>
      <c r="Y9">
        <f t="shared" si="19"/>
        <v>0</v>
      </c>
      <c r="Z9" s="40">
        <f>_xlfn.XLOOKUP(B9,'Raw Data'!$A$3:$A$360,'Raw Data'!$I$3:$I$360,0)</f>
        <v>0</v>
      </c>
      <c r="AA9">
        <f t="shared" si="6"/>
        <v>0</v>
      </c>
      <c r="AB9">
        <f>_xlfn.XLOOKUP(B9,'Raw Data'!$A$3:$A$360,'Raw Data'!$J$3:$J$360,0)</f>
        <v>0</v>
      </c>
      <c r="AC9">
        <f t="shared" si="7"/>
        <v>0</v>
      </c>
      <c r="AD9" s="40">
        <f>_xlfn.XLOOKUP($B9,'Raw Data'!$A$3:$A$360,'Raw Data'!$K$3:$K$360,0)</f>
        <v>0</v>
      </c>
      <c r="AE9">
        <f>_xlfn.XLOOKUP($B9,'Raw Data'!$A$3:$A$360,'Raw Data'!$L$3:$L$360,0)</f>
        <v>0</v>
      </c>
      <c r="AF9">
        <f>_xlfn.XLOOKUP($B9,'Raw Data'!$A$3:$A$360,'Raw Data'!$M$3:$M$360,0)</f>
        <v>0</v>
      </c>
      <c r="AG9">
        <f>_xlfn.XLOOKUP($B9,'Raw Data'!$A$3:$A$360,'Raw Data'!$N$3:$N$360,0)</f>
        <v>0</v>
      </c>
      <c r="AH9">
        <f>_xlfn.XLOOKUP($B9,'Raw Data'!$A$3:$A$360,'Raw Data'!$O$3:$O$360,0)</f>
        <v>0</v>
      </c>
      <c r="AI9">
        <f>_xlfn.XLOOKUP($B9,'Raw Data'!$A$3:$A$360,'Raw Data'!$P$3:$P$360,0)</f>
        <v>0</v>
      </c>
      <c r="AJ9">
        <f>_xlfn.XLOOKUP($B9,'Raw Data'!$A$3:$A$360,'Raw Data'!$Q$3:$Q$360,0)</f>
        <v>0</v>
      </c>
      <c r="AK9">
        <f>_xlfn.XLOOKUP($B9,'Raw Data'!$A$3:$A$360,'Raw Data'!$R$3:$R$360,0)</f>
        <v>0</v>
      </c>
      <c r="AL9">
        <f>_xlfn.XLOOKUP($B9,'Raw Data'!$A$3:$A$360,'Raw Data'!$S$3:$S$360,0)</f>
        <v>0</v>
      </c>
      <c r="AM9">
        <f>_xlfn.XLOOKUP($B9,'Raw Data'!$A$3:$A$360,'Raw Data'!$T$3:$T$360,0)</f>
        <v>0</v>
      </c>
      <c r="AN9" s="6">
        <f>_xlfn.XLOOKUP($B9,'Raw Data'!$A$3:$A$360,'Raw Data'!$U$3:$U$360,0)</f>
        <v>0</v>
      </c>
      <c r="AO9">
        <f>_xlfn.XLOOKUP($B9,'Raw Data'!$A$3:$A$360,'Raw Data'!$V$3:$V$360,0)</f>
        <v>0</v>
      </c>
      <c r="AP9">
        <f>_xlfn.XLOOKUP($B9,'Raw Data'!$A$3:$A$360,'Raw Data'!$W$3:$W$360,0)</f>
        <v>0</v>
      </c>
      <c r="AQ9">
        <f>_xlfn.XLOOKUP($B9,'Raw Data'!$A$3:$A$360,'Raw Data'!$X$3:$X$360,0)</f>
        <v>0</v>
      </c>
      <c r="AR9">
        <f>_xlfn.XLOOKUP($B9,'Raw Data'!$A$3:$A$360,'Raw Data'!$Y$3:$Y$360,0)</f>
        <v>0</v>
      </c>
      <c r="AS9" s="6">
        <f>_xlfn.XLOOKUP($B9,'Raw Data'!$A$3:$A$360,'Raw Data'!$Z$3:$Z$360,0)</f>
        <v>0</v>
      </c>
      <c r="AT9" s="40">
        <f>_xlfn.XLOOKUP($B9,'Raw Data'!$A$3:$A$360,'Raw Data'!$AA$3:$AA$360,0)</f>
        <v>0</v>
      </c>
      <c r="AU9">
        <f t="shared" si="8"/>
        <v>0</v>
      </c>
      <c r="AV9">
        <f>_xlfn.XLOOKUP($B9,'Raw Data'!$A$3:$A$360,'Raw Data'!$AB$3:$AB$360,0)</f>
        <v>0</v>
      </c>
      <c r="AW9">
        <f t="shared" si="12"/>
        <v>0</v>
      </c>
      <c r="AX9">
        <f>_xlfn.XLOOKUP($B9,'Raw Data'!$A$3:$A$360,'Raw Data'!$AC$3:$AC$360,0)</f>
        <v>0</v>
      </c>
      <c r="AY9">
        <f t="shared" si="9"/>
        <v>0</v>
      </c>
      <c r="AZ9">
        <f>_xlfn.XLOOKUP($B9,'Raw Data'!$A$3:$A$360,'Raw Data'!$AD$3:$AD$360,0)</f>
        <v>0</v>
      </c>
      <c r="BA9">
        <f t="shared" si="13"/>
        <v>0</v>
      </c>
      <c r="BB9">
        <f>_xlfn.XLOOKUP($B9,'Raw Data'!$A$3:$A$360,'Raw Data'!$AE$3:$AE$360,0)</f>
        <v>0</v>
      </c>
      <c r="BC9">
        <f>_xlfn.XLOOKUP($B9,'Raw Data'!$A$3:$A$360,'Raw Data'!$AF$3:$AF$360,0)</f>
        <v>0</v>
      </c>
      <c r="BD9">
        <f>_xlfn.XLOOKUP($B9,'Raw Data'!$A$3:$A$360,'Raw Data'!$AG$3:$AG$360,0)</f>
        <v>0</v>
      </c>
      <c r="BE9">
        <f>_xlfn.XLOOKUP($B9,'Raw Data'!$A$3:$A$360,'Raw Data'!$AH$3:$AH$360,0)</f>
        <v>0</v>
      </c>
      <c r="BF9">
        <f>_xlfn.XLOOKUP($B9,'Raw Data'!$A$3:$A$360,'Raw Data'!$AI$3:$AI$360,0)</f>
        <v>0</v>
      </c>
      <c r="BG9">
        <f>_xlfn.XLOOKUP($B9,'Raw Data'!$A$3:$A$360,'Raw Data'!$AJ$3:$AJ$360,0)</f>
        <v>0</v>
      </c>
    </row>
    <row r="10" spans="1:59" x14ac:dyDescent="0.3">
      <c r="A10">
        <v>9</v>
      </c>
      <c r="B10" s="13">
        <f>Dashboard!B20</f>
        <v>0</v>
      </c>
      <c r="C10">
        <f>Dashboard!D20</f>
        <v>0</v>
      </c>
      <c r="D10">
        <f>Dashboard!F20</f>
        <v>0</v>
      </c>
      <c r="E10">
        <f>Dashboard!H20</f>
        <v>0</v>
      </c>
      <c r="F10">
        <f>Dashboard!J20</f>
        <v>0</v>
      </c>
      <c r="G10">
        <f>IF(ISNA(Units!V7),0,Units!V7)</f>
        <v>0</v>
      </c>
      <c r="H10">
        <f t="shared" si="0"/>
        <v>0</v>
      </c>
      <c r="I10">
        <f>IF(ISNA(Units!V16),0,Units!V16)</f>
        <v>0</v>
      </c>
      <c r="J10">
        <f t="shared" si="1"/>
        <v>0</v>
      </c>
      <c r="K10">
        <f>_xlfn.XLOOKUP(B10,'Raw Data'!$A$3:$A$360,'Raw Data'!$G$3:$G$360,0)</f>
        <v>0</v>
      </c>
      <c r="L10">
        <f t="shared" si="2"/>
        <v>0</v>
      </c>
      <c r="M10">
        <f t="shared" si="3"/>
        <v>0</v>
      </c>
      <c r="N10">
        <f>_xlfn.XLOOKUP(B10,'Raw Data'!$A$3:$A$360,'Raw Data'!$H$3:$H$360,0)</f>
        <v>0</v>
      </c>
      <c r="O10">
        <f t="shared" si="4"/>
        <v>0</v>
      </c>
      <c r="P10">
        <f>_xlfn.XLOOKUP(B10,'Raw Data'!$A$3:$A$360,'Raw Data'!$B$3:$B$360,0)</f>
        <v>0</v>
      </c>
      <c r="Q10">
        <f>_xlfn.XLOOKUP(B10,'Raw Data'!$A$3:$A$360,'Raw Data'!$C$3:$C$360,0)</f>
        <v>0</v>
      </c>
      <c r="R10">
        <f>_xlfn.XLOOKUP(B10,'Raw Data'!$A$3:$A$360,'Raw Data'!$D$3:$D$360,0)</f>
        <v>0</v>
      </c>
      <c r="S10">
        <f>_xlfn.XLOOKUP(B10,'Raw Data'!$A$3:$A$360,'Raw Data'!$E$3:$E$360,0)</f>
        <v>0</v>
      </c>
      <c r="T10">
        <f>_xlfn.XLOOKUP(B10,'Raw Data'!$A$3:$A$360,'Raw Data'!$F$3:$F$360,0)</f>
        <v>0</v>
      </c>
      <c r="U10">
        <f t="shared" si="10"/>
        <v>0</v>
      </c>
      <c r="V10">
        <f t="shared" ref="V10:Y10" si="20">$M10/100*Q10</f>
        <v>0</v>
      </c>
      <c r="W10">
        <f t="shared" si="20"/>
        <v>0</v>
      </c>
      <c r="X10">
        <f t="shared" si="20"/>
        <v>0</v>
      </c>
      <c r="Y10">
        <f t="shared" si="20"/>
        <v>0</v>
      </c>
      <c r="Z10" s="40">
        <f>_xlfn.XLOOKUP(B10,'Raw Data'!$A$3:$A$360,'Raw Data'!$I$3:$I$360,0)</f>
        <v>0</v>
      </c>
      <c r="AA10">
        <f t="shared" si="6"/>
        <v>0</v>
      </c>
      <c r="AB10">
        <f>_xlfn.XLOOKUP(B10,'Raw Data'!$A$3:$A$360,'Raw Data'!$J$3:$J$360,0)</f>
        <v>0</v>
      </c>
      <c r="AC10">
        <f t="shared" si="7"/>
        <v>0</v>
      </c>
      <c r="AD10" s="40">
        <f>_xlfn.XLOOKUP($B10,'Raw Data'!$A$3:$A$360,'Raw Data'!$K$3:$K$360,0)</f>
        <v>0</v>
      </c>
      <c r="AE10">
        <f>_xlfn.XLOOKUP($B10,'Raw Data'!$A$3:$A$360,'Raw Data'!$L$3:$L$360,0)</f>
        <v>0</v>
      </c>
      <c r="AF10">
        <f>_xlfn.XLOOKUP($B10,'Raw Data'!$A$3:$A$360,'Raw Data'!$M$3:$M$360,0)</f>
        <v>0</v>
      </c>
      <c r="AG10">
        <f>_xlfn.XLOOKUP($B10,'Raw Data'!$A$3:$A$360,'Raw Data'!$N$3:$N$360,0)</f>
        <v>0</v>
      </c>
      <c r="AH10">
        <f>_xlfn.XLOOKUP($B10,'Raw Data'!$A$3:$A$360,'Raw Data'!$O$3:$O$360,0)</f>
        <v>0</v>
      </c>
      <c r="AI10">
        <f>_xlfn.XLOOKUP($B10,'Raw Data'!$A$3:$A$360,'Raw Data'!$P$3:$P$360,0)</f>
        <v>0</v>
      </c>
      <c r="AJ10">
        <f>_xlfn.XLOOKUP($B10,'Raw Data'!$A$3:$A$360,'Raw Data'!$Q$3:$Q$360,0)</f>
        <v>0</v>
      </c>
      <c r="AK10">
        <f>_xlfn.XLOOKUP($B10,'Raw Data'!$A$3:$A$360,'Raw Data'!$R$3:$R$360,0)</f>
        <v>0</v>
      </c>
      <c r="AL10">
        <f>_xlfn.XLOOKUP($B10,'Raw Data'!$A$3:$A$360,'Raw Data'!$S$3:$S$360,0)</f>
        <v>0</v>
      </c>
      <c r="AM10">
        <f>_xlfn.XLOOKUP($B10,'Raw Data'!$A$3:$A$360,'Raw Data'!$T$3:$T$360,0)</f>
        <v>0</v>
      </c>
      <c r="AN10" s="6">
        <f>_xlfn.XLOOKUP($B10,'Raw Data'!$A$3:$A$360,'Raw Data'!$U$3:$U$360,0)</f>
        <v>0</v>
      </c>
      <c r="AO10">
        <f>_xlfn.XLOOKUP($B10,'Raw Data'!$A$3:$A$360,'Raw Data'!$V$3:$V$360,0)</f>
        <v>0</v>
      </c>
      <c r="AP10">
        <f>_xlfn.XLOOKUP($B10,'Raw Data'!$A$3:$A$360,'Raw Data'!$W$3:$W$360,0)</f>
        <v>0</v>
      </c>
      <c r="AQ10">
        <f>_xlfn.XLOOKUP($B10,'Raw Data'!$A$3:$A$360,'Raw Data'!$X$3:$X$360,0)</f>
        <v>0</v>
      </c>
      <c r="AR10">
        <f>_xlfn.XLOOKUP($B10,'Raw Data'!$A$3:$A$360,'Raw Data'!$Y$3:$Y$360,0)</f>
        <v>0</v>
      </c>
      <c r="AS10" s="6">
        <f>_xlfn.XLOOKUP($B10,'Raw Data'!$A$3:$A$360,'Raw Data'!$Z$3:$Z$360,0)</f>
        <v>0</v>
      </c>
      <c r="AT10" s="40">
        <f>_xlfn.XLOOKUP($B10,'Raw Data'!$A$3:$A$360,'Raw Data'!$AA$3:$AA$360,0)</f>
        <v>0</v>
      </c>
      <c r="AU10">
        <f t="shared" si="8"/>
        <v>0</v>
      </c>
      <c r="AV10">
        <f>_xlfn.XLOOKUP($B10,'Raw Data'!$A$3:$A$360,'Raw Data'!$AB$3:$AB$360,0)</f>
        <v>0</v>
      </c>
      <c r="AW10">
        <f t="shared" si="12"/>
        <v>0</v>
      </c>
      <c r="AX10">
        <f>_xlfn.XLOOKUP($B10,'Raw Data'!$A$3:$A$360,'Raw Data'!$AC$3:$AC$360,0)</f>
        <v>0</v>
      </c>
      <c r="AY10">
        <f t="shared" si="9"/>
        <v>0</v>
      </c>
      <c r="AZ10">
        <f>_xlfn.XLOOKUP($B10,'Raw Data'!$A$3:$A$360,'Raw Data'!$AD$3:$AD$360,0)</f>
        <v>0</v>
      </c>
      <c r="BA10">
        <f t="shared" si="13"/>
        <v>0</v>
      </c>
      <c r="BB10">
        <f>_xlfn.XLOOKUP($B10,'Raw Data'!$A$3:$A$360,'Raw Data'!$AE$3:$AE$360,0)</f>
        <v>0</v>
      </c>
      <c r="BC10">
        <f>_xlfn.XLOOKUP($B10,'Raw Data'!$A$3:$A$360,'Raw Data'!$AF$3:$AF$360,0)</f>
        <v>0</v>
      </c>
      <c r="BD10">
        <f>_xlfn.XLOOKUP($B10,'Raw Data'!$A$3:$A$360,'Raw Data'!$AG$3:$AG$360,0)</f>
        <v>0</v>
      </c>
      <c r="BE10">
        <f>_xlfn.XLOOKUP($B10,'Raw Data'!$A$3:$A$360,'Raw Data'!$AH$3:$AH$360,0)</f>
        <v>0</v>
      </c>
      <c r="BF10">
        <f>_xlfn.XLOOKUP($B10,'Raw Data'!$A$3:$A$360,'Raw Data'!$AI$3:$AI$360,0)</f>
        <v>0</v>
      </c>
      <c r="BG10">
        <f>_xlfn.XLOOKUP($B10,'Raw Data'!$A$3:$A$360,'Raw Data'!$AJ$3:$AJ$360,0)</f>
        <v>0</v>
      </c>
    </row>
    <row r="11" spans="1:59" x14ac:dyDescent="0.3">
      <c r="A11">
        <v>10</v>
      </c>
      <c r="B11" s="13">
        <f>Dashboard!B22</f>
        <v>0</v>
      </c>
      <c r="C11">
        <f>Dashboard!D22</f>
        <v>0</v>
      </c>
      <c r="D11">
        <f>Dashboard!F22</f>
        <v>0</v>
      </c>
      <c r="E11">
        <f>Dashboard!H22</f>
        <v>0</v>
      </c>
      <c r="F11">
        <f>Dashboard!J22</f>
        <v>0</v>
      </c>
      <c r="G11">
        <f>IF(ISNA(Units!X7),0,Units!X7)</f>
        <v>0</v>
      </c>
      <c r="H11">
        <f t="shared" si="0"/>
        <v>0</v>
      </c>
      <c r="I11">
        <f>IF(ISNA(Units!X16),0,Units!X16)</f>
        <v>0</v>
      </c>
      <c r="J11">
        <f t="shared" si="1"/>
        <v>0</v>
      </c>
      <c r="K11">
        <f>_xlfn.XLOOKUP(B11,'Raw Data'!$A$3:$A$360,'Raw Data'!$G$3:$G$360,0)</f>
        <v>0</v>
      </c>
      <c r="L11">
        <f t="shared" si="2"/>
        <v>0</v>
      </c>
      <c r="M11">
        <f t="shared" si="3"/>
        <v>0</v>
      </c>
      <c r="N11">
        <f>_xlfn.XLOOKUP(B11,'Raw Data'!$A$3:$A$360,'Raw Data'!$H$3:$H$360,0)</f>
        <v>0</v>
      </c>
      <c r="O11">
        <f t="shared" si="4"/>
        <v>0</v>
      </c>
      <c r="P11">
        <f>_xlfn.XLOOKUP(B11,'Raw Data'!$A$3:$A$360,'Raw Data'!$B$3:$B$360,0)</f>
        <v>0</v>
      </c>
      <c r="Q11">
        <f>_xlfn.XLOOKUP(B11,'Raw Data'!$A$3:$A$360,'Raw Data'!$C$3:$C$360,0)</f>
        <v>0</v>
      </c>
      <c r="R11">
        <f>_xlfn.XLOOKUP(B11,'Raw Data'!$A$3:$A$360,'Raw Data'!$D$3:$D$360,0)</f>
        <v>0</v>
      </c>
      <c r="S11">
        <f>_xlfn.XLOOKUP(B11,'Raw Data'!$A$3:$A$360,'Raw Data'!$E$3:$E$360,0)</f>
        <v>0</v>
      </c>
      <c r="T11">
        <f>_xlfn.XLOOKUP(B11,'Raw Data'!$A$3:$A$360,'Raw Data'!$F$3:$F$360,0)</f>
        <v>0</v>
      </c>
      <c r="U11">
        <f t="shared" si="10"/>
        <v>0</v>
      </c>
      <c r="V11">
        <f t="shared" ref="V11:Y11" si="21">$M11/100*Q11</f>
        <v>0</v>
      </c>
      <c r="W11">
        <f t="shared" si="21"/>
        <v>0</v>
      </c>
      <c r="X11">
        <f t="shared" si="21"/>
        <v>0</v>
      </c>
      <c r="Y11">
        <f t="shared" si="21"/>
        <v>0</v>
      </c>
      <c r="Z11" s="40">
        <f>_xlfn.XLOOKUP(B11,'Raw Data'!$A$3:$A$360,'Raw Data'!$I$3:$I$360,0)</f>
        <v>0</v>
      </c>
      <c r="AA11">
        <f t="shared" si="6"/>
        <v>0</v>
      </c>
      <c r="AB11">
        <f>_xlfn.XLOOKUP(B11,'Raw Data'!$A$3:$A$360,'Raw Data'!$J$3:$J$360,0)</f>
        <v>0</v>
      </c>
      <c r="AC11">
        <f t="shared" si="7"/>
        <v>0</v>
      </c>
      <c r="AD11" s="40">
        <f>_xlfn.XLOOKUP($B11,'Raw Data'!$A$3:$A$360,'Raw Data'!$K$3:$K$360,0)</f>
        <v>0</v>
      </c>
      <c r="AE11">
        <f>_xlfn.XLOOKUP($B11,'Raw Data'!$A$3:$A$360,'Raw Data'!$L$3:$L$360,0)</f>
        <v>0</v>
      </c>
      <c r="AF11">
        <f>_xlfn.XLOOKUP($B11,'Raw Data'!$A$3:$A$360,'Raw Data'!$M$3:$M$360,0)</f>
        <v>0</v>
      </c>
      <c r="AG11">
        <f>_xlfn.XLOOKUP($B11,'Raw Data'!$A$3:$A$360,'Raw Data'!$N$3:$N$360,0)</f>
        <v>0</v>
      </c>
      <c r="AH11">
        <f>_xlfn.XLOOKUP($B11,'Raw Data'!$A$3:$A$360,'Raw Data'!$O$3:$O$360,0)</f>
        <v>0</v>
      </c>
      <c r="AI11">
        <f>_xlfn.XLOOKUP($B11,'Raw Data'!$A$3:$A$360,'Raw Data'!$P$3:$P$360,0)</f>
        <v>0</v>
      </c>
      <c r="AJ11">
        <f>_xlfn.XLOOKUP($B11,'Raw Data'!$A$3:$A$360,'Raw Data'!$Q$3:$Q$360,0)</f>
        <v>0</v>
      </c>
      <c r="AK11">
        <f>_xlfn.XLOOKUP($B11,'Raw Data'!$A$3:$A$360,'Raw Data'!$R$3:$R$360,0)</f>
        <v>0</v>
      </c>
      <c r="AL11">
        <f>_xlfn.XLOOKUP($B11,'Raw Data'!$A$3:$A$360,'Raw Data'!$S$3:$S$360,0)</f>
        <v>0</v>
      </c>
      <c r="AM11">
        <f>_xlfn.XLOOKUP($B11,'Raw Data'!$A$3:$A$360,'Raw Data'!$T$3:$T$360,0)</f>
        <v>0</v>
      </c>
      <c r="AN11" s="6">
        <f>_xlfn.XLOOKUP($B11,'Raw Data'!$A$3:$A$360,'Raw Data'!$U$3:$U$360,0)</f>
        <v>0</v>
      </c>
      <c r="AO11">
        <f>_xlfn.XLOOKUP($B11,'Raw Data'!$A$3:$A$360,'Raw Data'!$V$3:$V$360,0)</f>
        <v>0</v>
      </c>
      <c r="AP11">
        <f>_xlfn.XLOOKUP($B11,'Raw Data'!$A$3:$A$360,'Raw Data'!$W$3:$W$360,0)</f>
        <v>0</v>
      </c>
      <c r="AQ11">
        <f>_xlfn.XLOOKUP($B11,'Raw Data'!$A$3:$A$360,'Raw Data'!$X$3:$X$360,0)</f>
        <v>0</v>
      </c>
      <c r="AR11">
        <f>_xlfn.XLOOKUP($B11,'Raw Data'!$A$3:$A$360,'Raw Data'!$Y$3:$Y$360,0)</f>
        <v>0</v>
      </c>
      <c r="AS11" s="6">
        <f>_xlfn.XLOOKUP($B11,'Raw Data'!$A$3:$A$360,'Raw Data'!$Z$3:$Z$360,0)</f>
        <v>0</v>
      </c>
      <c r="AT11" s="40">
        <f>_xlfn.XLOOKUP($B11,'Raw Data'!$A$3:$A$360,'Raw Data'!$AA$3:$AA$360,0)</f>
        <v>0</v>
      </c>
      <c r="AU11">
        <f t="shared" si="8"/>
        <v>0</v>
      </c>
      <c r="AV11">
        <f>_xlfn.XLOOKUP($B11,'Raw Data'!$A$3:$A$360,'Raw Data'!$AB$3:$AB$360,0)</f>
        <v>0</v>
      </c>
      <c r="AW11">
        <f t="shared" si="12"/>
        <v>0</v>
      </c>
      <c r="AX11">
        <f>_xlfn.XLOOKUP($B11,'Raw Data'!$A$3:$A$360,'Raw Data'!$AC$3:$AC$360,0)</f>
        <v>0</v>
      </c>
      <c r="AY11">
        <f t="shared" si="9"/>
        <v>0</v>
      </c>
      <c r="AZ11">
        <f>_xlfn.XLOOKUP($B11,'Raw Data'!$A$3:$A$360,'Raw Data'!$AD$3:$AD$360,0)</f>
        <v>0</v>
      </c>
      <c r="BA11">
        <f t="shared" si="13"/>
        <v>0</v>
      </c>
      <c r="BB11">
        <f>_xlfn.XLOOKUP($B11,'Raw Data'!$A$3:$A$360,'Raw Data'!$AE$3:$AE$360,0)</f>
        <v>0</v>
      </c>
      <c r="BC11">
        <f>_xlfn.XLOOKUP($B11,'Raw Data'!$A$3:$A$360,'Raw Data'!$AF$3:$AF$360,0)</f>
        <v>0</v>
      </c>
      <c r="BD11">
        <f>_xlfn.XLOOKUP($B11,'Raw Data'!$A$3:$A$360,'Raw Data'!$AG$3:$AG$360,0)</f>
        <v>0</v>
      </c>
      <c r="BE11">
        <f>_xlfn.XLOOKUP($B11,'Raw Data'!$A$3:$A$360,'Raw Data'!$AH$3:$AH$360,0)</f>
        <v>0</v>
      </c>
      <c r="BF11">
        <f>_xlfn.XLOOKUP($B11,'Raw Data'!$A$3:$A$360,'Raw Data'!$AI$3:$AI$360,0)</f>
        <v>0</v>
      </c>
      <c r="BG11">
        <f>_xlfn.XLOOKUP($B11,'Raw Data'!$A$3:$A$360,'Raw Data'!$AJ$3:$AJ$360,0)</f>
        <v>0</v>
      </c>
    </row>
    <row r="12" spans="1:59" x14ac:dyDescent="0.3">
      <c r="L12" s="11"/>
      <c r="M12" s="11"/>
      <c r="N12" s="11"/>
      <c r="O12" s="11"/>
    </row>
    <row r="13" spans="1:59" x14ac:dyDescent="0.3">
      <c r="L13" s="4" t="s">
        <v>238</v>
      </c>
      <c r="M13" s="11">
        <f>SUM(M2:M11)</f>
        <v>0</v>
      </c>
      <c r="N13" s="11"/>
      <c r="O13" s="11">
        <f>SUM(O2:O11)</f>
        <v>0</v>
      </c>
      <c r="U13">
        <f>SUM(U2:U11)</f>
        <v>0</v>
      </c>
      <c r="V13">
        <f>SUM(V2:V11)</f>
        <v>0</v>
      </c>
      <c r="W13">
        <f>SUM(W2:W11)</f>
        <v>0</v>
      </c>
      <c r="X13">
        <f>SUM(X2:X11)</f>
        <v>0</v>
      </c>
      <c r="Y13">
        <f>SUM(Y2:Y11)</f>
        <v>0</v>
      </c>
      <c r="AA13">
        <f>SUM(AA2:AA11)</f>
        <v>0</v>
      </c>
      <c r="AC13">
        <f>SUM(AC2:AC11)</f>
        <v>0</v>
      </c>
      <c r="AU13">
        <f>SUM(AU2:AU11)</f>
        <v>0</v>
      </c>
      <c r="AW13">
        <f>SUM(AW2:AW11)</f>
        <v>0</v>
      </c>
      <c r="AY13">
        <f>SUM(AY2:AY11)</f>
        <v>0</v>
      </c>
      <c r="BA13">
        <f>SUM(BA2:BA11)</f>
        <v>0</v>
      </c>
    </row>
    <row r="14" spans="1:59" x14ac:dyDescent="0.3">
      <c r="U14" s="11"/>
      <c r="V14" s="11"/>
      <c r="W14" s="11"/>
      <c r="X14" s="11"/>
      <c r="Y14" s="11"/>
      <c r="AA14" s="11"/>
      <c r="AC14" s="11"/>
      <c r="AU14" s="11"/>
      <c r="AW14" s="11"/>
      <c r="AY14" s="11"/>
      <c r="BA14" s="11"/>
    </row>
    <row r="15" spans="1:59" x14ac:dyDescent="0.3">
      <c r="U15" s="4" t="s">
        <v>239</v>
      </c>
      <c r="V15" s="4" t="s">
        <v>240</v>
      </c>
      <c r="W15" s="4" t="s">
        <v>241</v>
      </c>
      <c r="X15" s="4" t="s">
        <v>242</v>
      </c>
      <c r="Y15" s="4" t="s">
        <v>243</v>
      </c>
      <c r="AA15" s="4" t="s">
        <v>632</v>
      </c>
      <c r="AC15" s="4" t="s">
        <v>633</v>
      </c>
      <c r="AU15" s="4" t="s">
        <v>637</v>
      </c>
      <c r="AW15" s="4" t="s">
        <v>638</v>
      </c>
      <c r="AY15" s="4" t="s">
        <v>639</v>
      </c>
      <c r="AZ15" s="1"/>
      <c r="BA15" s="4" t="s">
        <v>710</v>
      </c>
    </row>
    <row r="16" spans="1:59" x14ac:dyDescent="0.3">
      <c r="U16" t="e">
        <f>IF((U13/1000)/($O$13/100)&gt;U19,(U13/1000)/($O$13/100),0)</f>
        <v>#DIV/0!</v>
      </c>
      <c r="V16" t="e">
        <f>IF((V13/1000)/($O$13/100)&gt;V19,(V13/1000)/($O$13/100),0)</f>
        <v>#DIV/0!</v>
      </c>
      <c r="W16" t="e">
        <f>IF((W13/1000)/($O$13/100)&gt;W19,(W13/1000)/($O$13/100),0)</f>
        <v>#DIV/0!</v>
      </c>
      <c r="X16" t="e">
        <f>IF((X13/1000)/($O$13/100)&gt;X19,(X13/1000)/($O$13/100),0)</f>
        <v>#DIV/0!</v>
      </c>
      <c r="Y16" t="e">
        <f>IF((Y13/1000)/($O$13/100)&gt;Y19,(Y13/1000)/($O$13/100),0)</f>
        <v>#DIV/0!</v>
      </c>
      <c r="AA16" t="e">
        <f>(AA13/1000)/($O$13/100)</f>
        <v>#DIV/0!</v>
      </c>
      <c r="AC16" t="e">
        <f>(AC13/1000)/($O$13/100)</f>
        <v>#DIV/0!</v>
      </c>
      <c r="AU16" t="e">
        <f>AU13/($O$13/100)</f>
        <v>#DIV/0!</v>
      </c>
      <c r="AW16" t="e">
        <f>(AW13/1000)/($O$13/100)</f>
        <v>#DIV/0!</v>
      </c>
      <c r="AY16" t="e">
        <f>(AY13/1000)/($O$13/100)</f>
        <v>#DIV/0!</v>
      </c>
      <c r="BA16" t="e">
        <f>(BA13/1000)/($O$13/100)</f>
        <v>#DIV/0!</v>
      </c>
    </row>
    <row r="17" spans="1:53" x14ac:dyDescent="0.3">
      <c r="U17" s="11"/>
      <c r="V17" s="11"/>
      <c r="W17" s="11"/>
      <c r="X17" s="11"/>
      <c r="Y17" s="11"/>
      <c r="AA17" s="11"/>
      <c r="AC17" s="11"/>
      <c r="AW17" s="11"/>
      <c r="AY17" s="11"/>
      <c r="BA17" s="11"/>
    </row>
    <row r="18" spans="1:53" x14ac:dyDescent="0.3">
      <c r="U18" s="12" t="s">
        <v>727</v>
      </c>
      <c r="V18" s="12" t="s">
        <v>728</v>
      </c>
      <c r="W18" s="12" t="s">
        <v>729</v>
      </c>
      <c r="X18" s="12" t="s">
        <v>730</v>
      </c>
      <c r="Y18" s="12" t="s">
        <v>731</v>
      </c>
      <c r="AA18" s="4" t="s">
        <v>725</v>
      </c>
      <c r="AC18" s="4" t="s">
        <v>726</v>
      </c>
      <c r="AW18" s="4" t="s">
        <v>706</v>
      </c>
      <c r="AY18" s="4" t="s">
        <v>707</v>
      </c>
      <c r="AZ18" s="1"/>
      <c r="BA18" s="4" t="s">
        <v>711</v>
      </c>
    </row>
    <row r="19" spans="1:53" x14ac:dyDescent="0.3">
      <c r="U19">
        <f>IFERROR(IF(OR((X13/1000)/($O$13/100)&gt;0.011,(Y13/1000)/($O$13/100)&gt;0.0056),0.01/100,0.01),0.01)*Z37</f>
        <v>0.01</v>
      </c>
      <c r="V19">
        <f>IFERROR(IF(OR((X13/1000)/($O$13/100)&gt;0.011,(Y13/1000)/($O$13/100)&gt;0.0056),0.0166/100,0.0166),0.0166)*Z37</f>
        <v>1.66E-2</v>
      </c>
      <c r="W19">
        <f>IFERROR(IF(U16&gt;0.0735,0.00305,IF(U16&gt;0.0037,0.0061,0.061)),0.061)*AA37</f>
        <v>6.0999999999999999E-2</v>
      </c>
      <c r="X19">
        <f>IFERROR(IF(U16&gt;0.0735,0.00051,IF(U16&gt;0.0037,0.001,0.011)),0.011)*AA37</f>
        <v>1.0999999999999999E-2</v>
      </c>
      <c r="Y19">
        <f>IFERROR(IF(U16&gt;0.0735,0.00028,IF(U16&gt;0.0037,0.00056,0.0056)),0.0056)*AA37</f>
        <v>5.5999999999999999E-3</v>
      </c>
      <c r="AA19">
        <v>3.7000000000000002E-3</v>
      </c>
      <c r="AC19">
        <v>1.7999999999999999E-2</v>
      </c>
      <c r="AW19" t="e">
        <f>LOG((AW16/307.33*10)*1000)</f>
        <v>#DIV/0!</v>
      </c>
      <c r="AY19" t="e">
        <f>LOG((AY16/164.205*10)*1000)</f>
        <v>#DIV/0!</v>
      </c>
      <c r="BA19" t="e">
        <f>LOG((BA16/303.31*10)*1000)</f>
        <v>#DIV/0!</v>
      </c>
    </row>
    <row r="20" spans="1:53" x14ac:dyDescent="0.3">
      <c r="U20" s="11"/>
      <c r="V20" s="11"/>
      <c r="W20" s="11"/>
      <c r="Z20" s="11"/>
      <c r="AA20" s="11"/>
      <c r="AB20" s="11"/>
      <c r="AC20" s="11"/>
      <c r="AW20" s="11"/>
      <c r="AY20" s="11"/>
    </row>
    <row r="21" spans="1:53" ht="43.2" x14ac:dyDescent="0.3">
      <c r="A21" s="8" t="s">
        <v>607</v>
      </c>
      <c r="U21" s="4" t="s">
        <v>244</v>
      </c>
      <c r="V21" s="4" t="s">
        <v>245</v>
      </c>
      <c r="W21" s="12" t="s">
        <v>649</v>
      </c>
      <c r="X21" s="48" t="s">
        <v>671</v>
      </c>
      <c r="Z21" s="47" t="s">
        <v>640</v>
      </c>
      <c r="AA21" s="4" t="s">
        <v>645</v>
      </c>
      <c r="AB21" s="47" t="s">
        <v>641</v>
      </c>
      <c r="AC21" s="12" t="s">
        <v>646</v>
      </c>
      <c r="AW21" s="4" t="s">
        <v>666</v>
      </c>
      <c r="AY21" s="4" t="s">
        <v>667</v>
      </c>
      <c r="AZ21" s="1"/>
      <c r="BA21" s="4" t="s">
        <v>712</v>
      </c>
    </row>
    <row r="22" spans="1:53" x14ac:dyDescent="0.3">
      <c r="U22" t="e">
        <f>(U16+219*W16*U16+1218*X16*U16+2800*Y16*U16)+0.07*(V16+219*W16*V16+1218*X16*V16+2800*Y16*V16)</f>
        <v>#DIV/0!</v>
      </c>
      <c r="V22">
        <f>IFERROR(IF(3.6672*LN(U22)+12.555&lt;0,0,3.6672*LN(U22)+12.555),0)</f>
        <v>0</v>
      </c>
      <c r="W22">
        <f>IFERROR(V22*Z34,0)</f>
        <v>0</v>
      </c>
      <c r="X22">
        <f>W22+W22*0.72*(AW28/100)</f>
        <v>0</v>
      </c>
      <c r="Z22" t="e">
        <f>IF(AA16&lt;AA19,0,AA16*10/23)</f>
        <v>#DIV/0!</v>
      </c>
      <c r="AA22" t="e">
        <f>2.7036*LN(Z22) + 12.008</f>
        <v>#DIV/0!</v>
      </c>
      <c r="AB22" t="e">
        <f>IF(AC16&lt;AC19,0,AC16*10/39.0983)</f>
        <v>#DIV/0!</v>
      </c>
      <c r="AC22" t="e">
        <f>404.88*(AB22)^2+6.7462*(AB22)-0.1344</f>
        <v>#DIV/0!</v>
      </c>
      <c r="AW22">
        <f>IFERROR(MAX(0,-0.7412*(AW19)^6-9.5185*(AW19)^5-39.535*(AW19)^4-42.766*(AW19)^3+76.481*(AW19)^2+182.56*(AW19)+191.82),0)</f>
        <v>0</v>
      </c>
      <c r="AY22">
        <f>IFERROR(MAX(0,-0.7412*(AY19)^6-9.5185*(AY19)^5-39.535*(AY19)^4-42.766*(AY19)^3+76.481*(AY19)^2+182.56*(AY19)+182.97),0)</f>
        <v>0</v>
      </c>
      <c r="BA22">
        <f>IFERROR(MAX(0,-28.823*(BA19)^3-167.95*(BA19)^2-244.17*(BA19)),0)</f>
        <v>0</v>
      </c>
    </row>
    <row r="23" spans="1:53" x14ac:dyDescent="0.3">
      <c r="A23" s="8" t="s">
        <v>605</v>
      </c>
      <c r="B23" s="4" t="s">
        <v>621</v>
      </c>
      <c r="C23" s="38" t="s">
        <v>609</v>
      </c>
      <c r="E23" s="8" t="s">
        <v>606</v>
      </c>
      <c r="F23" s="4" t="s">
        <v>623</v>
      </c>
      <c r="G23" s="38" t="s">
        <v>609</v>
      </c>
      <c r="J23" s="8" t="s">
        <v>619</v>
      </c>
      <c r="K23" s="4" t="s">
        <v>620</v>
      </c>
      <c r="L23" s="5" t="s">
        <v>621</v>
      </c>
      <c r="M23" s="38" t="s">
        <v>609</v>
      </c>
      <c r="Z23" s="11"/>
      <c r="AA23" s="11"/>
      <c r="AW23" s="11"/>
      <c r="AY23" s="11"/>
    </row>
    <row r="24" spans="1:53" x14ac:dyDescent="0.3">
      <c r="K24">
        <v>-3</v>
      </c>
      <c r="L24">
        <f>10^K24</f>
        <v>1E-3</v>
      </c>
      <c r="M24">
        <v>0</v>
      </c>
      <c r="Z24" s="4" t="s">
        <v>643</v>
      </c>
      <c r="AA24" s="4" t="s">
        <v>670</v>
      </c>
      <c r="AW24" s="4" t="s">
        <v>665</v>
      </c>
      <c r="AY24" s="4" t="s">
        <v>668</v>
      </c>
      <c r="AZ24" s="1"/>
      <c r="BA24" s="4" t="s">
        <v>713</v>
      </c>
    </row>
    <row r="25" spans="1:53" x14ac:dyDescent="0.3">
      <c r="B25">
        <v>1.2E-2</v>
      </c>
      <c r="C25">
        <v>0.15</v>
      </c>
      <c r="F25">
        <v>1.17E-2</v>
      </c>
      <c r="G25">
        <v>0</v>
      </c>
      <c r="K25">
        <v>-2</v>
      </c>
      <c r="L25">
        <f t="shared" ref="L25:L31" si="22">10^K25</f>
        <v>0.01</v>
      </c>
      <c r="M25">
        <v>3.7699999999999997E-2</v>
      </c>
      <c r="Z25">
        <f>IFERROR(AA22+AC22,0)</f>
        <v>0</v>
      </c>
      <c r="AA25">
        <f>Z25+Z25*(0.6)*(AW28/100)</f>
        <v>0</v>
      </c>
      <c r="AW25">
        <f>IF(AW22&gt;100,100,AW22)</f>
        <v>0</v>
      </c>
      <c r="AY25">
        <f>IF(AY22&gt;100,100,AY22)</f>
        <v>0</v>
      </c>
      <c r="BA25">
        <f>IF(BA22&gt;100,100,BA22)</f>
        <v>0</v>
      </c>
    </row>
    <row r="26" spans="1:53" x14ac:dyDescent="0.3">
      <c r="B26">
        <v>3.5700000000000003E-2</v>
      </c>
      <c r="C26">
        <v>2.8</v>
      </c>
      <c r="F26">
        <v>3.5299999999999998E-2</v>
      </c>
      <c r="G26">
        <v>0.60829999999999995</v>
      </c>
      <c r="K26">
        <v>-1.7</v>
      </c>
      <c r="L26">
        <f t="shared" si="22"/>
        <v>1.9952623149688792E-2</v>
      </c>
      <c r="M26">
        <v>0.1197</v>
      </c>
      <c r="Z26" s="11"/>
      <c r="AA26" s="11"/>
      <c r="AW26" s="11"/>
    </row>
    <row r="27" spans="1:53" x14ac:dyDescent="0.3">
      <c r="B27">
        <v>0.106</v>
      </c>
      <c r="C27">
        <v>6.04</v>
      </c>
      <c r="F27">
        <v>0.112</v>
      </c>
      <c r="G27">
        <v>5.7</v>
      </c>
      <c r="K27">
        <v>-1.3</v>
      </c>
      <c r="L27">
        <f t="shared" si="22"/>
        <v>5.0118723362727206E-2</v>
      </c>
      <c r="M27">
        <v>0.3911</v>
      </c>
      <c r="Z27" s="4" t="s">
        <v>723</v>
      </c>
      <c r="AA27" s="4" t="s">
        <v>724</v>
      </c>
      <c r="AW27" s="12" t="s">
        <v>669</v>
      </c>
    </row>
    <row r="28" spans="1:53" x14ac:dyDescent="0.3">
      <c r="K28">
        <v>-1</v>
      </c>
      <c r="L28">
        <f t="shared" si="22"/>
        <v>0.1</v>
      </c>
      <c r="M28">
        <v>0.58279999999999998</v>
      </c>
      <c r="Z28" t="e">
        <f>-37.089*(Z22+0.81*AB22)^2 + 9.9621*(Z22+0.81*AB22) - 0.038</f>
        <v>#DIV/0!</v>
      </c>
      <c r="AA28" t="e">
        <f>-0.6351*(Z22+0.81*AB22) + 0.6414</f>
        <v>#DIV/0!</v>
      </c>
      <c r="AW28">
        <f>IF((AW25+AY25+BA25)&gt;100,100,(AW25+AY25+BA25))</f>
        <v>0</v>
      </c>
    </row>
    <row r="29" spans="1:53" x14ac:dyDescent="0.3">
      <c r="K29">
        <v>-0.69199999999999995</v>
      </c>
      <c r="L29">
        <f t="shared" si="22"/>
        <v>0.20323570109362216</v>
      </c>
      <c r="M29">
        <v>0.5232</v>
      </c>
      <c r="Z29" s="11"/>
      <c r="AA29" s="11"/>
    </row>
    <row r="30" spans="1:53" x14ac:dyDescent="0.3">
      <c r="K30">
        <v>-0.31</v>
      </c>
      <c r="L30">
        <f t="shared" si="22"/>
        <v>0.48977881936844614</v>
      </c>
      <c r="M30">
        <v>0.30380000000000001</v>
      </c>
      <c r="Z30" s="4" t="s">
        <v>647</v>
      </c>
      <c r="AA30" s="4" t="s">
        <v>647</v>
      </c>
    </row>
    <row r="31" spans="1:53" x14ac:dyDescent="0.3">
      <c r="K31">
        <v>-0.02</v>
      </c>
      <c r="L31">
        <f t="shared" si="22"/>
        <v>0.95499258602143589</v>
      </c>
      <c r="M31">
        <v>4.5699999999999998E-2</v>
      </c>
      <c r="Z31" t="e">
        <f>MAX(0,Z28)</f>
        <v>#DIV/0!</v>
      </c>
      <c r="AA31" t="e">
        <f>MAX(0,AA28)</f>
        <v>#DIV/0!</v>
      </c>
    </row>
    <row r="32" spans="1:53" x14ac:dyDescent="0.3">
      <c r="Z32" s="11"/>
    </row>
    <row r="33" spans="1:28" x14ac:dyDescent="0.3">
      <c r="J33" s="8" t="s">
        <v>627</v>
      </c>
      <c r="K33" s="4" t="s">
        <v>624</v>
      </c>
      <c r="L33" s="4" t="s">
        <v>609</v>
      </c>
      <c r="M33" s="4" t="s">
        <v>625</v>
      </c>
      <c r="Z33" s="4" t="s">
        <v>648</v>
      </c>
      <c r="AA33" s="1"/>
      <c r="AB33" s="1"/>
    </row>
    <row r="34" spans="1:28" x14ac:dyDescent="0.3">
      <c r="J34" t="s">
        <v>628</v>
      </c>
      <c r="K34">
        <v>0.1</v>
      </c>
      <c r="L34">
        <v>0.58499999999999996</v>
      </c>
      <c r="M34">
        <f>L34/0.585</f>
        <v>1</v>
      </c>
      <c r="Z34">
        <f>IFERROR(IF(Z22&lt;0.1,Z31,(AA31/0.5828)),0)</f>
        <v>0</v>
      </c>
    </row>
    <row r="35" spans="1:28" x14ac:dyDescent="0.3">
      <c r="J35" t="s">
        <v>629</v>
      </c>
      <c r="K35">
        <v>0.1</v>
      </c>
      <c r="L35">
        <v>0.47399999999999998</v>
      </c>
      <c r="M35" s="43">
        <f>L35/0.585</f>
        <v>0.81025641025641026</v>
      </c>
      <c r="Z35" s="11"/>
      <c r="AA35" s="11"/>
    </row>
    <row r="36" spans="1:28" x14ac:dyDescent="0.3">
      <c r="Z36" s="4" t="s">
        <v>746</v>
      </c>
      <c r="AA36" s="4" t="s">
        <v>747</v>
      </c>
    </row>
    <row r="37" spans="1:28" x14ac:dyDescent="0.3">
      <c r="J37" s="8" t="s">
        <v>626</v>
      </c>
      <c r="K37" s="4" t="s">
        <v>622</v>
      </c>
      <c r="L37" s="5" t="s">
        <v>623</v>
      </c>
      <c r="M37" s="38" t="s">
        <v>609</v>
      </c>
      <c r="Z37">
        <f>IFERROR(IF(AA16&gt;G115,4,1),1)</f>
        <v>1</v>
      </c>
      <c r="AA37">
        <f>IFERROR(IF(AA16&gt;J116,8,IF(AA16&gt;J115,4,1)),1)</f>
        <v>1</v>
      </c>
    </row>
    <row r="38" spans="1:28" x14ac:dyDescent="0.3">
      <c r="K38">
        <v>-3</v>
      </c>
      <c r="L38">
        <f>10^K38</f>
        <v>1E-3</v>
      </c>
      <c r="M38" s="44">
        <f>M24*$M$35</f>
        <v>0</v>
      </c>
    </row>
    <row r="39" spans="1:28" x14ac:dyDescent="0.3">
      <c r="K39">
        <v>-2</v>
      </c>
      <c r="L39">
        <f t="shared" ref="L39:L44" si="23">10^K39</f>
        <v>0.01</v>
      </c>
      <c r="M39" s="44">
        <f>M25*$M$35</f>
        <v>3.0546666666666666E-2</v>
      </c>
      <c r="AA39" s="1"/>
    </row>
    <row r="40" spans="1:28" x14ac:dyDescent="0.3">
      <c r="K40">
        <v>-1.7</v>
      </c>
      <c r="L40">
        <f t="shared" si="23"/>
        <v>1.9952623149688792E-2</v>
      </c>
      <c r="M40" s="44">
        <f t="shared" ref="M40:M42" si="24">M26*$M$35</f>
        <v>9.6987692307692303E-2</v>
      </c>
    </row>
    <row r="41" spans="1:28" x14ac:dyDescent="0.3">
      <c r="K41">
        <v>-1.3</v>
      </c>
      <c r="L41">
        <f t="shared" si="23"/>
        <v>5.0118723362727206E-2</v>
      </c>
      <c r="M41" s="44">
        <f t="shared" si="24"/>
        <v>0.31689128205128203</v>
      </c>
    </row>
    <row r="42" spans="1:28" x14ac:dyDescent="0.3">
      <c r="A42" s="8" t="s">
        <v>604</v>
      </c>
      <c r="B42" s="4" t="s">
        <v>651</v>
      </c>
      <c r="C42" s="38" t="s">
        <v>650</v>
      </c>
      <c r="E42" s="8" t="s">
        <v>608</v>
      </c>
      <c r="F42" s="4" t="s">
        <v>663</v>
      </c>
      <c r="G42" s="38" t="s">
        <v>650</v>
      </c>
      <c r="K42">
        <v>-1</v>
      </c>
      <c r="L42">
        <f t="shared" si="23"/>
        <v>0.1</v>
      </c>
      <c r="M42" s="44">
        <f t="shared" si="24"/>
        <v>0.47221743589743587</v>
      </c>
      <c r="AA42" s="1"/>
    </row>
    <row r="43" spans="1:28" x14ac:dyDescent="0.3">
      <c r="B43">
        <v>4.4932591238113898E-2</v>
      </c>
      <c r="C43">
        <v>3.5564651405182102</v>
      </c>
      <c r="F43">
        <f>B43/B48*F48</f>
        <v>5.0357016196028725E-2</v>
      </c>
      <c r="G43">
        <v>3.5564651405182102</v>
      </c>
      <c r="K43">
        <v>-0.31</v>
      </c>
      <c r="L43">
        <f t="shared" si="23"/>
        <v>0.48977881936844614</v>
      </c>
      <c r="M43" s="44">
        <f>M30*$M$35</f>
        <v>0.24615589743589744</v>
      </c>
    </row>
    <row r="44" spans="1:28" x14ac:dyDescent="0.3">
      <c r="B44">
        <v>0.137328445135251</v>
      </c>
      <c r="C44">
        <v>4.00904397674406</v>
      </c>
      <c r="F44">
        <f>B44/B48*F48</f>
        <v>0.15390723181763158</v>
      </c>
      <c r="G44">
        <v>4.00904397674406</v>
      </c>
      <c r="K44">
        <v>-0.02</v>
      </c>
      <c r="L44">
        <f t="shared" si="23"/>
        <v>0.95499258602143589</v>
      </c>
      <c r="M44" s="44">
        <f>M31*$M$35</f>
        <v>3.7028717948717947E-2</v>
      </c>
    </row>
    <row r="45" spans="1:28" x14ac:dyDescent="0.3">
      <c r="B45">
        <v>0.41874518788682003</v>
      </c>
      <c r="C45">
        <v>9.2678504540988307</v>
      </c>
      <c r="F45">
        <f>B45/B48*F48</f>
        <v>0.46929762177924261</v>
      </c>
      <c r="G45">
        <v>9.2678504540988307</v>
      </c>
    </row>
    <row r="46" spans="1:28" x14ac:dyDescent="0.3">
      <c r="B46">
        <v>1.18583375824121</v>
      </c>
      <c r="C46">
        <v>17.395703839618601</v>
      </c>
      <c r="F46">
        <f>B46/B48*F48</f>
        <v>1.3289918992897334</v>
      </c>
      <c r="G46">
        <v>17.395703839618601</v>
      </c>
    </row>
    <row r="47" spans="1:28" x14ac:dyDescent="0.3">
      <c r="B47">
        <v>3.6130264164683998</v>
      </c>
      <c r="C47">
        <v>24.282426130904199</v>
      </c>
      <c r="F47">
        <f>B47/B48*F48</f>
        <v>4.0492040355876</v>
      </c>
      <c r="G47">
        <v>24.282426130904199</v>
      </c>
    </row>
    <row r="48" spans="1:28" x14ac:dyDescent="0.3">
      <c r="B48">
        <v>10.867978339895901</v>
      </c>
      <c r="C48">
        <v>27.680920249062201</v>
      </c>
      <c r="F48">
        <v>12.18</v>
      </c>
      <c r="G48">
        <v>27.680920249062201</v>
      </c>
    </row>
    <row r="49" spans="2:7" x14ac:dyDescent="0.3">
      <c r="B49">
        <v>33.719284986317497</v>
      </c>
      <c r="C49">
        <v>27.048059019276799</v>
      </c>
      <c r="F49">
        <f>B49/B48*F48</f>
        <v>37.789999049379873</v>
      </c>
      <c r="G49">
        <v>27.048059019276799</v>
      </c>
    </row>
    <row r="50" spans="2:7" x14ac:dyDescent="0.3">
      <c r="B50">
        <v>98.688703442026195</v>
      </c>
      <c r="C50">
        <v>27.036007621694601</v>
      </c>
      <c r="F50">
        <f>B50/B48*F48</f>
        <v>110.60276072793432</v>
      </c>
      <c r="G50">
        <v>27.036007621694601</v>
      </c>
    </row>
    <row r="52" spans="2:7" x14ac:dyDescent="0.3">
      <c r="B52" s="1" t="s">
        <v>653</v>
      </c>
      <c r="C52" s="1" t="s">
        <v>652</v>
      </c>
      <c r="F52" s="1" t="s">
        <v>664</v>
      </c>
      <c r="G52" s="1" t="s">
        <v>652</v>
      </c>
    </row>
    <row r="53" spans="2:7" x14ac:dyDescent="0.3">
      <c r="B53">
        <f>LOG(B43/1000)</f>
        <v>-4.3474385351580525</v>
      </c>
      <c r="C53" s="43">
        <f>C43/$C$48*100</f>
        <v>12.848074083225969</v>
      </c>
      <c r="F53">
        <f>LOG(F43/1000)</f>
        <v>-4.2979400110500867</v>
      </c>
      <c r="G53">
        <f t="shared" ref="G53:G57" si="25">G43/$G$48*100</f>
        <v>12.848074083225969</v>
      </c>
    </row>
    <row r="54" spans="2:7" x14ac:dyDescent="0.3">
      <c r="B54">
        <f t="shared" ref="B54:B60" si="26">LOG(B44/1000)</f>
        <v>-3.8622394970984386</v>
      </c>
      <c r="C54" s="43">
        <f t="shared" ref="C54:C60" si="27">C44/$C$48*100</f>
        <v>14.483058874749229</v>
      </c>
      <c r="F54">
        <f t="shared" ref="F54:F60" si="28">LOG(F44/1000)</f>
        <v>-3.8127409729904733</v>
      </c>
      <c r="G54">
        <f t="shared" si="25"/>
        <v>14.483058874749229</v>
      </c>
    </row>
    <row r="55" spans="2:7" x14ac:dyDescent="0.3">
      <c r="B55">
        <f t="shared" si="26"/>
        <v>-3.3780501707281334</v>
      </c>
      <c r="C55" s="43">
        <f t="shared" si="27"/>
        <v>33.481005583305404</v>
      </c>
      <c r="F55">
        <f t="shared" si="28"/>
        <v>-3.3285516466201681</v>
      </c>
      <c r="G55">
        <f t="shared" si="25"/>
        <v>33.481005583305404</v>
      </c>
    </row>
    <row r="56" spans="2:7" x14ac:dyDescent="0.3">
      <c r="B56">
        <f t="shared" si="26"/>
        <v>-2.9259761903469417</v>
      </c>
      <c r="C56" s="43">
        <f t="shared" si="27"/>
        <v>62.843661565796204</v>
      </c>
      <c r="F56">
        <f t="shared" si="28"/>
        <v>-2.8764776662389764</v>
      </c>
      <c r="G56">
        <f t="shared" si="25"/>
        <v>62.843661565796204</v>
      </c>
    </row>
    <row r="57" spans="2:7" x14ac:dyDescent="0.3">
      <c r="B57">
        <f t="shared" si="26"/>
        <v>-2.4421288630972096</v>
      </c>
      <c r="C57" s="43">
        <f t="shared" si="27"/>
        <v>87.722611504315367</v>
      </c>
      <c r="F57">
        <f t="shared" si="28"/>
        <v>-2.3926303389892443</v>
      </c>
      <c r="G57">
        <f t="shared" si="25"/>
        <v>87.722611504315367</v>
      </c>
    </row>
    <row r="58" spans="2:7" x14ac:dyDescent="0.3">
      <c r="B58">
        <f t="shared" si="26"/>
        <v>-1.9638512358111087</v>
      </c>
      <c r="C58" s="43">
        <f t="shared" si="27"/>
        <v>100</v>
      </c>
      <c r="F58">
        <f t="shared" si="28"/>
        <v>-1.9143527117031434</v>
      </c>
      <c r="G58">
        <f>G48/$G$48*100</f>
        <v>100</v>
      </c>
    </row>
    <row r="59" spans="2:7" x14ac:dyDescent="0.3">
      <c r="B59">
        <f t="shared" si="26"/>
        <v>-1.4721216431157744</v>
      </c>
      <c r="C59" s="43">
        <f t="shared" si="27"/>
        <v>97.713727635890862</v>
      </c>
      <c r="F59">
        <f t="shared" si="28"/>
        <v>-1.4226231190078089</v>
      </c>
      <c r="G59">
        <f t="shared" ref="G59:G60" si="29">G49/$G$48*100</f>
        <v>97.713727635890862</v>
      </c>
    </row>
    <row r="60" spans="2:7" x14ac:dyDescent="0.3">
      <c r="B60">
        <f t="shared" si="26"/>
        <v>-1.0057325566877107</v>
      </c>
      <c r="C60" s="43">
        <f t="shared" si="27"/>
        <v>97.670190797253397</v>
      </c>
      <c r="F60">
        <f t="shared" si="28"/>
        <v>-0.95623403257974549</v>
      </c>
      <c r="G60">
        <f t="shared" si="29"/>
        <v>97.670190797253397</v>
      </c>
    </row>
    <row r="78" spans="1:3" x14ac:dyDescent="0.3">
      <c r="A78" s="49" t="s">
        <v>703</v>
      </c>
      <c r="B78" s="4" t="s">
        <v>704</v>
      </c>
      <c r="C78" s="38" t="s">
        <v>650</v>
      </c>
    </row>
    <row r="79" spans="1:3" x14ac:dyDescent="0.3">
      <c r="B79">
        <v>0</v>
      </c>
      <c r="C79">
        <v>0</v>
      </c>
    </row>
    <row r="80" spans="1:3" x14ac:dyDescent="0.3">
      <c r="B80">
        <v>1</v>
      </c>
      <c r="C80">
        <v>0</v>
      </c>
    </row>
    <row r="81" spans="2:3" x14ac:dyDescent="0.3">
      <c r="B81">
        <v>3</v>
      </c>
      <c r="C81">
        <v>1</v>
      </c>
    </row>
    <row r="82" spans="2:3" x14ac:dyDescent="0.3">
      <c r="B82">
        <v>10</v>
      </c>
      <c r="C82">
        <v>4.8</v>
      </c>
    </row>
    <row r="83" spans="2:3" x14ac:dyDescent="0.3">
      <c r="B83">
        <v>30</v>
      </c>
      <c r="C83">
        <v>10.44</v>
      </c>
    </row>
    <row r="84" spans="2:3" x14ac:dyDescent="0.3">
      <c r="B84">
        <v>100</v>
      </c>
      <c r="C84">
        <v>11.23</v>
      </c>
    </row>
    <row r="87" spans="2:3" x14ac:dyDescent="0.3">
      <c r="B87" s="4" t="s">
        <v>705</v>
      </c>
      <c r="C87" s="4" t="s">
        <v>652</v>
      </c>
    </row>
    <row r="88" spans="2:3" x14ac:dyDescent="0.3">
      <c r="B88" t="e">
        <f>LOG(B79/1000)</f>
        <v>#NUM!</v>
      </c>
      <c r="C88">
        <f>C79/$C$84*100</f>
        <v>0</v>
      </c>
    </row>
    <row r="89" spans="2:3" x14ac:dyDescent="0.3">
      <c r="B89">
        <f t="shared" ref="B89:B93" si="30">LOG(B80/1000)</f>
        <v>-3</v>
      </c>
      <c r="C89">
        <f t="shared" ref="C89:C93" si="31">C80/$C$84*100</f>
        <v>0</v>
      </c>
    </row>
    <row r="90" spans="2:3" x14ac:dyDescent="0.3">
      <c r="B90">
        <f t="shared" si="30"/>
        <v>-2.5228787452803374</v>
      </c>
      <c r="C90">
        <f t="shared" si="31"/>
        <v>8.9047195013357072</v>
      </c>
    </row>
    <row r="91" spans="2:3" x14ac:dyDescent="0.3">
      <c r="B91">
        <f t="shared" si="30"/>
        <v>-2</v>
      </c>
      <c r="C91">
        <f t="shared" si="31"/>
        <v>42.742653606411395</v>
      </c>
    </row>
    <row r="92" spans="2:3" x14ac:dyDescent="0.3">
      <c r="B92">
        <f t="shared" si="30"/>
        <v>-1.5228787452803376</v>
      </c>
      <c r="C92">
        <f t="shared" si="31"/>
        <v>92.965271593944792</v>
      </c>
    </row>
    <row r="93" spans="2:3" x14ac:dyDescent="0.3">
      <c r="B93">
        <f t="shared" si="30"/>
        <v>-1</v>
      </c>
      <c r="C93">
        <f t="shared" si="31"/>
        <v>100</v>
      </c>
    </row>
    <row r="110" spans="1:5" x14ac:dyDescent="0.3">
      <c r="A110" s="11"/>
      <c r="E110" s="11"/>
    </row>
    <row r="111" spans="1:5" x14ac:dyDescent="0.3">
      <c r="A111" s="4" t="s">
        <v>740</v>
      </c>
      <c r="E111" s="4" t="s">
        <v>741</v>
      </c>
    </row>
    <row r="112" spans="1:5" x14ac:dyDescent="0.3">
      <c r="A112" s="11"/>
      <c r="B112" s="11"/>
      <c r="C112" s="11"/>
    </row>
    <row r="113" spans="1:10" x14ac:dyDescent="0.3">
      <c r="A113" s="4" t="s">
        <v>742</v>
      </c>
      <c r="B113" s="4" t="s">
        <v>743</v>
      </c>
      <c r="C113" s="4" t="s">
        <v>644</v>
      </c>
      <c r="E113" s="4" t="s">
        <v>742</v>
      </c>
      <c r="F113" s="4" t="s">
        <v>745</v>
      </c>
      <c r="G113" s="4" t="s">
        <v>748</v>
      </c>
      <c r="H113" s="38" t="s">
        <v>744</v>
      </c>
      <c r="I113" s="4" t="s">
        <v>745</v>
      </c>
      <c r="J113" s="4" t="s">
        <v>748</v>
      </c>
    </row>
    <row r="114" spans="1:10" x14ac:dyDescent="0.3">
      <c r="A114">
        <v>50</v>
      </c>
      <c r="B114">
        <v>0</v>
      </c>
      <c r="C114">
        <v>29.45</v>
      </c>
      <c r="E114">
        <v>0.625</v>
      </c>
      <c r="F114">
        <v>0</v>
      </c>
      <c r="G114">
        <f>F114</f>
        <v>0</v>
      </c>
      <c r="H114" s="40">
        <v>0.313</v>
      </c>
      <c r="I114">
        <v>0</v>
      </c>
      <c r="J114">
        <v>0</v>
      </c>
    </row>
    <row r="115" spans="1:10" x14ac:dyDescent="0.3">
      <c r="A115">
        <v>50</v>
      </c>
      <c r="B115">
        <v>1.25</v>
      </c>
      <c r="C115">
        <v>27.08</v>
      </c>
      <c r="E115">
        <v>2.5</v>
      </c>
      <c r="F115">
        <v>150</v>
      </c>
      <c r="G115">
        <f>(F115/1000*23)/10</f>
        <v>0.34499999999999997</v>
      </c>
      <c r="H115" s="40">
        <v>1.25</v>
      </c>
      <c r="I115">
        <v>20</v>
      </c>
      <c r="J115">
        <f>(I115/1000*23)/10</f>
        <v>4.5999999999999999E-2</v>
      </c>
    </row>
    <row r="116" spans="1:10" x14ac:dyDescent="0.3">
      <c r="A116">
        <v>50</v>
      </c>
      <c r="B116">
        <v>6.25</v>
      </c>
      <c r="C116">
        <v>23.04</v>
      </c>
      <c r="E116">
        <v>2.5</v>
      </c>
      <c r="F116">
        <v>370</v>
      </c>
      <c r="G116">
        <f>(F116/1000*23)/10</f>
        <v>0.85099999999999998</v>
      </c>
      <c r="H116" s="40">
        <v>2.5</v>
      </c>
      <c r="I116">
        <v>170</v>
      </c>
      <c r="J116">
        <f>(I116/1000*23)/10</f>
        <v>0.39100000000000001</v>
      </c>
    </row>
    <row r="117" spans="1:10" x14ac:dyDescent="0.3">
      <c r="A117">
        <v>50</v>
      </c>
      <c r="B117">
        <v>31.25</v>
      </c>
      <c r="C117">
        <v>0.71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8749-973D-4856-B8ED-AC7A5DB9CB91}">
  <dimension ref="A1:T5"/>
  <sheetViews>
    <sheetView workbookViewId="0">
      <selection activeCell="T5" sqref="T5"/>
    </sheetView>
  </sheetViews>
  <sheetFormatPr defaultRowHeight="14.4" x14ac:dyDescent="0.3"/>
  <cols>
    <col min="1" max="2" width="16.77734375" bestFit="1" customWidth="1"/>
    <col min="3" max="3" width="5.5546875" bestFit="1" customWidth="1"/>
    <col min="4" max="4" width="14" bestFit="1" customWidth="1"/>
    <col min="5" max="5" width="11.77734375" bestFit="1" customWidth="1"/>
    <col min="6" max="6" width="14" bestFit="1" customWidth="1"/>
    <col min="8" max="8" width="15.5546875" bestFit="1" customWidth="1"/>
    <col min="10" max="10" width="14" bestFit="1" customWidth="1"/>
    <col min="12" max="12" width="14" bestFit="1" customWidth="1"/>
    <col min="13" max="13" width="9.77734375" bestFit="1" customWidth="1"/>
    <col min="14" max="14" width="14" bestFit="1" customWidth="1"/>
    <col min="16" max="16" width="14" bestFit="1" customWidth="1"/>
    <col min="18" max="18" width="14" bestFit="1" customWidth="1"/>
    <col min="20" max="20" width="14" bestFit="1" customWidth="1"/>
  </cols>
  <sheetData>
    <row r="1" spans="1:20" x14ac:dyDescent="0.3">
      <c r="A1" s="8" t="s">
        <v>192</v>
      </c>
    </row>
    <row r="2" spans="1:20" x14ac:dyDescent="0.3">
      <c r="A2" s="2">
        <v>1</v>
      </c>
      <c r="B2" s="1"/>
      <c r="C2" s="2">
        <v>2</v>
      </c>
      <c r="E2" s="2">
        <v>3</v>
      </c>
      <c r="G2" s="2">
        <v>4</v>
      </c>
      <c r="I2" s="2">
        <v>5</v>
      </c>
      <c r="K2" s="2">
        <v>6</v>
      </c>
      <c r="M2" s="2">
        <v>7</v>
      </c>
      <c r="O2" s="2">
        <v>8</v>
      </c>
      <c r="Q2" s="2">
        <v>9</v>
      </c>
      <c r="S2" s="2">
        <v>10</v>
      </c>
    </row>
    <row r="3" spans="1:20" x14ac:dyDescent="0.3">
      <c r="A3" s="9" t="s">
        <v>193</v>
      </c>
      <c r="B3" s="10" t="s">
        <v>194</v>
      </c>
      <c r="C3" s="9" t="s">
        <v>193</v>
      </c>
      <c r="D3" s="10" t="s">
        <v>194</v>
      </c>
      <c r="E3" s="9" t="s">
        <v>193</v>
      </c>
      <c r="F3" s="10" t="s">
        <v>194</v>
      </c>
      <c r="G3" s="9" t="s">
        <v>193</v>
      </c>
      <c r="H3" s="10" t="s">
        <v>194</v>
      </c>
      <c r="I3" s="9" t="s">
        <v>193</v>
      </c>
      <c r="J3" s="10" t="s">
        <v>194</v>
      </c>
      <c r="K3" s="9" t="s">
        <v>193</v>
      </c>
      <c r="L3" s="10" t="s">
        <v>194</v>
      </c>
      <c r="M3" s="9" t="s">
        <v>193</v>
      </c>
      <c r="N3" s="10" t="s">
        <v>194</v>
      </c>
      <c r="O3" s="9" t="s">
        <v>193</v>
      </c>
      <c r="P3" s="10" t="s">
        <v>194</v>
      </c>
      <c r="Q3" s="9" t="s">
        <v>193</v>
      </c>
      <c r="R3" s="10" t="s">
        <v>194</v>
      </c>
      <c r="S3" s="9" t="s">
        <v>193</v>
      </c>
      <c r="T3" s="10" t="s">
        <v>194</v>
      </c>
    </row>
    <row r="4" spans="1:20" x14ac:dyDescent="0.3">
      <c r="A4">
        <f>Dashboard!B4</f>
        <v>0</v>
      </c>
      <c r="B4" t="str" cm="1">
        <f t="array" ref="B4:B5">_xlfn._xlws.SORT(_xlfn._xlws.FILTER('Raw Data'!A3:A360,ISNUMBER(SEARCH(A4,'Raw Data'!A3:A360)), "Other"))</f>
        <v>High Fructose Corn Syrup-90 (HFCS-90)</v>
      </c>
      <c r="C4">
        <f>Dashboard!B6</f>
        <v>0</v>
      </c>
      <c r="D4" t="str" cm="1">
        <f t="array" ref="D4:D5">_xlfn._xlws.SORT(_xlfn._xlws.FILTER('Raw Data'!A3:A360, ISNUMBER(SEARCH(C4,'Raw Data'!A3:A360)),"Other"))</f>
        <v>High Fructose Corn Syrup-90 (HFCS-90)</v>
      </c>
      <c r="E4">
        <f>Dashboard!B8</f>
        <v>0</v>
      </c>
      <c r="F4" t="str" cm="1">
        <f t="array" ref="F4:F5">_xlfn._xlws.SORT(_xlfn._xlws.FILTER('Raw Data'!A3:A360, ISNUMBER(SEARCH(E4,'Raw Data'!A3:A360)),"Other"))</f>
        <v>High Fructose Corn Syrup-90 (HFCS-90)</v>
      </c>
      <c r="G4">
        <f>Dashboard!B10</f>
        <v>0</v>
      </c>
      <c r="H4" t="str" cm="1">
        <f t="array" ref="H4:H5">_xlfn._xlws.SORT(_xlfn._xlws.FILTER('Raw Data'!A3:A360, ISNUMBER(SEARCH(G4,'Raw Data'!A3:A360)),"Other"))</f>
        <v>High Fructose Corn Syrup-90 (HFCS-90)</v>
      </c>
      <c r="I4">
        <f>Dashboard!B12</f>
        <v>0</v>
      </c>
      <c r="J4" t="str" cm="1">
        <f t="array" ref="J4:J5">_xlfn._xlws.SORT(_xlfn._xlws.FILTER('Raw Data'!A3:A360, ISNUMBER(SEARCH(I4,'Raw Data'!A3:A360)),"Other"))</f>
        <v>High Fructose Corn Syrup-90 (HFCS-90)</v>
      </c>
      <c r="K4">
        <f>Dashboard!$B14</f>
        <v>0</v>
      </c>
      <c r="L4" t="str" cm="1">
        <f t="array" ref="L4:L5">_xlfn._xlws.SORT(_xlfn._xlws.FILTER('Raw Data'!A3:A360, ISNUMBER(SEARCH(K4,'Raw Data'!A3:A360)),"Other"))</f>
        <v>High Fructose Corn Syrup-90 (HFCS-90)</v>
      </c>
      <c r="M4">
        <f>Dashboard!$B16</f>
        <v>0</v>
      </c>
      <c r="N4" t="str" cm="1">
        <f t="array" ref="N4:N5">_xlfn._xlws.SORT(_xlfn._xlws.FILTER('Raw Data'!A3:A360, ISNUMBER(SEARCH(M4,'Raw Data'!A3:A360)),"Other"))</f>
        <v>High Fructose Corn Syrup-90 (HFCS-90)</v>
      </c>
      <c r="O4">
        <f>Dashboard!$B18</f>
        <v>0</v>
      </c>
      <c r="P4" t="str" cm="1">
        <f t="array" ref="P4:P5">_xlfn._xlws.SORT(_xlfn._xlws.FILTER('Raw Data'!A3:A360, ISNUMBER(SEARCH(O4,'Raw Data'!A3:A360)),"Other"))</f>
        <v>High Fructose Corn Syrup-90 (HFCS-90)</v>
      </c>
      <c r="Q4">
        <f>Dashboard!$B20</f>
        <v>0</v>
      </c>
      <c r="R4" t="str" cm="1">
        <f t="array" ref="R4:R5">_xlfn._xlws.SORT(_xlfn._xlws.FILTER('Raw Data'!A3:A360, ISNUMBER(SEARCH(Q4,'Raw Data'!A3:A360)),"Other"))</f>
        <v>High Fructose Corn Syrup-90 (HFCS-90)</v>
      </c>
      <c r="S4">
        <f>Dashboard!$B22</f>
        <v>0</v>
      </c>
      <c r="T4" t="str" cm="1">
        <f t="array" ref="T4:T5">_xlfn._xlws.SORT(_xlfn._xlws.FILTER('Raw Data'!A3:A360, ISNUMBER(SEARCH(S4,'Raw Data'!A3:A360)),"Other"))</f>
        <v>High Fructose Corn Syrup-90 (HFCS-90)</v>
      </c>
    </row>
    <row r="5" spans="1:20" x14ac:dyDescent="0.3">
      <c r="B5" t="str">
        <v>Tapioca Syrup 60 DE</v>
      </c>
      <c r="D5" t="str">
        <v>Tapioca Syrup 60 DE</v>
      </c>
      <c r="F5" t="str">
        <v>Tapioca Syrup 60 DE</v>
      </c>
      <c r="H5" t="str">
        <v>Tapioca Syrup 60 DE</v>
      </c>
      <c r="J5" t="str">
        <v>Tapioca Syrup 60 DE</v>
      </c>
      <c r="L5" t="str">
        <v>Tapioca Syrup 60 DE</v>
      </c>
      <c r="N5" t="str">
        <v>Tapioca Syrup 60 DE</v>
      </c>
      <c r="P5" t="str">
        <v>Tapioca Syrup 60 DE</v>
      </c>
      <c r="R5" t="str">
        <v>Tapioca Syrup 60 DE</v>
      </c>
      <c r="T5" t="str">
        <v>Tapioca Syrup 60 DE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D66A-E711-41BD-BC3F-6964ADFCBDA0}">
  <dimension ref="A1:Y16"/>
  <sheetViews>
    <sheetView workbookViewId="0">
      <selection activeCell="C2" sqref="C2:C12"/>
    </sheetView>
  </sheetViews>
  <sheetFormatPr defaultRowHeight="14.4" x14ac:dyDescent="0.3"/>
  <cols>
    <col min="1" max="1" width="13.77734375" bestFit="1" customWidth="1"/>
    <col min="2" max="2" width="15.33203125" bestFit="1" customWidth="1"/>
    <col min="3" max="3" width="20.21875" bestFit="1" customWidth="1"/>
    <col min="4" max="4" width="17.6640625" bestFit="1" customWidth="1"/>
    <col min="6" max="6" width="12.21875" bestFit="1" customWidth="1"/>
    <col min="7" max="7" width="13.6640625" bestFit="1" customWidth="1"/>
    <col min="8" max="8" width="12.44140625" bestFit="1" customWidth="1"/>
    <col min="9" max="9" width="13.6640625" bestFit="1" customWidth="1"/>
    <col min="10" max="10" width="10.44140625" bestFit="1" customWidth="1"/>
    <col min="11" max="11" width="13.6640625" bestFit="1" customWidth="1"/>
    <col min="13" max="13" width="13.6640625" bestFit="1" customWidth="1"/>
    <col min="15" max="15" width="13.6640625" bestFit="1" customWidth="1"/>
    <col min="17" max="17" width="13.6640625" bestFit="1" customWidth="1"/>
    <col min="19" max="19" width="13.6640625" bestFit="1" customWidth="1"/>
    <col min="21" max="21" width="13.6640625" bestFit="1" customWidth="1"/>
    <col min="23" max="23" width="13.6640625" bestFit="1" customWidth="1"/>
    <col min="25" max="25" width="13.6640625" bestFit="1" customWidth="1"/>
  </cols>
  <sheetData>
    <row r="1" spans="1:25" x14ac:dyDescent="0.3">
      <c r="A1" s="8" t="s">
        <v>202</v>
      </c>
      <c r="B1" s="8" t="s">
        <v>234</v>
      </c>
      <c r="C1" s="8" t="s">
        <v>203</v>
      </c>
      <c r="D1" s="8" t="s">
        <v>233</v>
      </c>
      <c r="E1" s="1"/>
      <c r="F1" s="1" t="s">
        <v>192</v>
      </c>
      <c r="G1" s="1" t="s">
        <v>221</v>
      </c>
    </row>
    <row r="2" spans="1:25" x14ac:dyDescent="0.3">
      <c r="A2" t="s">
        <v>204</v>
      </c>
      <c r="B2">
        <v>1</v>
      </c>
      <c r="C2" t="s">
        <v>208</v>
      </c>
      <c r="D2">
        <v>1</v>
      </c>
      <c r="F2" s="7">
        <v>1</v>
      </c>
      <c r="G2" s="7"/>
      <c r="H2" s="7">
        <v>2</v>
      </c>
      <c r="I2" s="7"/>
      <c r="J2" s="7">
        <v>3</v>
      </c>
      <c r="K2" s="7"/>
      <c r="L2" s="7">
        <v>4</v>
      </c>
      <c r="M2" s="7"/>
      <c r="N2" s="7">
        <v>5</v>
      </c>
      <c r="O2" s="7"/>
      <c r="P2" s="7">
        <v>6</v>
      </c>
      <c r="Q2" s="7"/>
      <c r="R2" s="7">
        <v>7</v>
      </c>
      <c r="S2" s="7"/>
      <c r="T2" s="7">
        <v>8</v>
      </c>
      <c r="U2" s="7"/>
      <c r="V2" s="7">
        <v>9</v>
      </c>
      <c r="W2" s="7"/>
      <c r="X2" s="7">
        <v>10</v>
      </c>
      <c r="Y2" s="7"/>
    </row>
    <row r="3" spans="1:25" x14ac:dyDescent="0.3">
      <c r="A3" t="s">
        <v>205</v>
      </c>
      <c r="B3">
        <v>1000</v>
      </c>
      <c r="C3" t="s">
        <v>213</v>
      </c>
      <c r="D3">
        <v>1</v>
      </c>
      <c r="F3" s="12" t="s">
        <v>193</v>
      </c>
      <c r="G3" s="12" t="s">
        <v>194</v>
      </c>
      <c r="H3" s="12" t="s">
        <v>193</v>
      </c>
      <c r="I3" s="12" t="s">
        <v>194</v>
      </c>
      <c r="J3" s="12" t="s">
        <v>193</v>
      </c>
      <c r="K3" s="12" t="s">
        <v>194</v>
      </c>
      <c r="L3" s="12" t="s">
        <v>193</v>
      </c>
      <c r="M3" s="12" t="s">
        <v>194</v>
      </c>
      <c r="N3" s="12" t="s">
        <v>193</v>
      </c>
      <c r="O3" s="12" t="s">
        <v>194</v>
      </c>
      <c r="P3" s="12" t="s">
        <v>193</v>
      </c>
      <c r="Q3" s="12" t="s">
        <v>194</v>
      </c>
      <c r="R3" s="12" t="s">
        <v>193</v>
      </c>
      <c r="S3" s="12" t="s">
        <v>194</v>
      </c>
      <c r="T3" s="12" t="s">
        <v>193</v>
      </c>
      <c r="U3" s="12" t="s">
        <v>194</v>
      </c>
      <c r="V3" s="12" t="s">
        <v>193</v>
      </c>
      <c r="W3" s="12" t="s">
        <v>194</v>
      </c>
      <c r="X3" s="12" t="s">
        <v>193</v>
      </c>
      <c r="Y3" s="12" t="s">
        <v>194</v>
      </c>
    </row>
    <row r="4" spans="1:25" x14ac:dyDescent="0.3">
      <c r="A4" t="s">
        <v>211</v>
      </c>
      <c r="B4">
        <v>1000000</v>
      </c>
      <c r="C4" t="s">
        <v>209</v>
      </c>
      <c r="D4">
        <v>1000</v>
      </c>
      <c r="F4">
        <f>Dashboard!F4</f>
        <v>0</v>
      </c>
      <c r="G4" t="str" cm="1">
        <f t="array" ref="G4">_xlfn._xlws.SORT(_xlfn._xlws.FILTER($A$2:$A$7,ISNUMBER(SEARCH(F4,$A$2:$A$7)),"Not Found"))</f>
        <v>Not Found</v>
      </c>
      <c r="H4">
        <f>Dashboard!F6</f>
        <v>0</v>
      </c>
      <c r="I4" t="str" cm="1">
        <f t="array" ref="I4">_xlfn._xlws.SORT(_xlfn._xlws.FILTER($A$2:$A$7,ISNUMBER(SEARCH(H4,$A$2:$A$7)),"Not Found"))</f>
        <v>Not Found</v>
      </c>
      <c r="J4">
        <f>Dashboard!F8</f>
        <v>0</v>
      </c>
      <c r="K4" t="str" cm="1">
        <f t="array" ref="K4">_xlfn._xlws.SORT(_xlfn._xlws.FILTER($A$2:$A$7,ISNUMBER(SEARCH(J4,$A$2:$A$7)),"Not Found"))</f>
        <v>Not Found</v>
      </c>
      <c r="L4">
        <f>Dashboard!F10</f>
        <v>0</v>
      </c>
      <c r="M4" t="str" cm="1">
        <f t="array" ref="M4">_xlfn._xlws.SORT(_xlfn._xlws.FILTER($A$2:$A$7,ISNUMBER(SEARCH(L4,$A$2:$A$7)),"Not Found"))</f>
        <v>Not Found</v>
      </c>
      <c r="N4">
        <f>Dashboard!F12</f>
        <v>0</v>
      </c>
      <c r="O4" t="str" cm="1">
        <f t="array" ref="O4">_xlfn._xlws.SORT(_xlfn._xlws.FILTER($A$2:$A$7,ISNUMBER(SEARCH(N4,$A$2:$A$7)),"Not Found"))</f>
        <v>Not Found</v>
      </c>
      <c r="P4">
        <f>Dashboard!F14</f>
        <v>0</v>
      </c>
      <c r="Q4" t="str" cm="1">
        <f t="array" ref="Q4">_xlfn._xlws.SORT(_xlfn._xlws.FILTER($A$2:$A$7,ISNUMBER(SEARCH(P4,$A$2:$A$7)),"Not Found"))</f>
        <v>Not Found</v>
      </c>
      <c r="R4">
        <f>Dashboard!F16</f>
        <v>0</v>
      </c>
      <c r="S4" t="str" cm="1">
        <f t="array" ref="S4">_xlfn._xlws.SORT(_xlfn._xlws.FILTER($A$2:$A$7,ISNUMBER(SEARCH(R4,$A$2:$A$7)),"Not Found"))</f>
        <v>Not Found</v>
      </c>
      <c r="T4">
        <f>Dashboard!F18</f>
        <v>0</v>
      </c>
      <c r="U4" t="str" cm="1">
        <f t="array" ref="U4">_xlfn._xlws.SORT(_xlfn._xlws.FILTER($A$2:$A$7,ISNUMBER(SEARCH(T4,$A$2:$A$7)),"Not Found"))</f>
        <v>Not Found</v>
      </c>
      <c r="V4">
        <f>Dashboard!F20</f>
        <v>0</v>
      </c>
      <c r="W4" t="str" cm="1">
        <f t="array" ref="W4">_xlfn._xlws.SORT(_xlfn._xlws.FILTER($A$2:$A$7,ISNUMBER(SEARCH(V4,$A$2:$A$7)),"Not Found"))</f>
        <v>Not Found</v>
      </c>
      <c r="X4">
        <f>Dashboard!F22</f>
        <v>0</v>
      </c>
      <c r="Y4" t="str" cm="1">
        <f t="array" ref="Y4">_xlfn._xlws.SORT(_xlfn._xlws.FILTER($A$2:$A$7,ISNUMBER(SEARCH(X4,$A$2:$A$7)),"Not Found"))</f>
        <v>Not Found</v>
      </c>
    </row>
    <row r="5" spans="1:25" x14ac:dyDescent="0.3">
      <c r="A5" t="s">
        <v>206</v>
      </c>
      <c r="B5">
        <v>28.35</v>
      </c>
      <c r="C5" t="s">
        <v>212</v>
      </c>
      <c r="D5">
        <v>1000000</v>
      </c>
    </row>
    <row r="6" spans="1:25" x14ac:dyDescent="0.3">
      <c r="A6" t="s">
        <v>207</v>
      </c>
      <c r="B6">
        <v>453.59</v>
      </c>
      <c r="C6" t="s">
        <v>214</v>
      </c>
      <c r="D6">
        <v>29.57</v>
      </c>
      <c r="F6" s="1" t="s">
        <v>236</v>
      </c>
      <c r="H6" s="1" t="s">
        <v>236</v>
      </c>
      <c r="J6" s="1" t="s">
        <v>236</v>
      </c>
      <c r="L6" s="1" t="s">
        <v>236</v>
      </c>
      <c r="N6" s="1" t="s">
        <v>236</v>
      </c>
      <c r="P6" s="1" t="s">
        <v>236</v>
      </c>
      <c r="R6" s="1" t="s">
        <v>236</v>
      </c>
      <c r="T6" s="1" t="s">
        <v>236</v>
      </c>
      <c r="V6" s="1" t="s">
        <v>236</v>
      </c>
      <c r="X6" s="1" t="s">
        <v>236</v>
      </c>
    </row>
    <row r="7" spans="1:25" x14ac:dyDescent="0.3">
      <c r="A7" t="s">
        <v>210</v>
      </c>
      <c r="B7">
        <v>907185</v>
      </c>
      <c r="C7" t="s">
        <v>215</v>
      </c>
      <c r="D7">
        <v>236.59</v>
      </c>
      <c r="F7" t="e">
        <f>_xlfn.XLOOKUP(F4,$A$2:$A$7,$B$2:$B$7)</f>
        <v>#N/A</v>
      </c>
      <c r="H7" t="e">
        <f>_xlfn.XLOOKUP(H4,$A$2:$A$7,$B$2:$B$7)</f>
        <v>#N/A</v>
      </c>
      <c r="J7" t="e">
        <f>_xlfn.XLOOKUP(J4,$A$2:$A$7,$B$2:$B$7)</f>
        <v>#N/A</v>
      </c>
      <c r="L7" t="e">
        <f>_xlfn.XLOOKUP(L4,$A$2:$A$7,$B$2:$B$7)</f>
        <v>#N/A</v>
      </c>
      <c r="N7" t="e">
        <f>_xlfn.XLOOKUP(N4,$A$2:$A$7,$B$2:$B$7)</f>
        <v>#N/A</v>
      </c>
      <c r="P7" t="e">
        <f>_xlfn.XLOOKUP(P4,$A$2:$A$7,$B$2:$B$7)</f>
        <v>#N/A</v>
      </c>
      <c r="R7" t="e">
        <f>_xlfn.XLOOKUP(R4,$A$2:$A$7,$B$2:$B$7)</f>
        <v>#N/A</v>
      </c>
      <c r="T7" t="e">
        <f>_xlfn.XLOOKUP(T4,$A$2:$A$7,$B$2:$B$7)</f>
        <v>#N/A</v>
      </c>
      <c r="V7" t="e">
        <f>_xlfn.XLOOKUP(V4,$A$2:$A$7,$B$2:$B$7)</f>
        <v>#N/A</v>
      </c>
      <c r="X7" t="e">
        <f>_xlfn.XLOOKUP(X4,$A$2:$A$7,$B$2:$B$7)</f>
        <v>#N/A</v>
      </c>
    </row>
    <row r="8" spans="1:25" x14ac:dyDescent="0.3">
      <c r="C8" t="s">
        <v>216</v>
      </c>
      <c r="D8">
        <v>473.18</v>
      </c>
    </row>
    <row r="9" spans="1:25" x14ac:dyDescent="0.3">
      <c r="C9" t="s">
        <v>217</v>
      </c>
      <c r="D9">
        <v>946.35</v>
      </c>
    </row>
    <row r="10" spans="1:25" x14ac:dyDescent="0.3">
      <c r="C10" t="s">
        <v>218</v>
      </c>
      <c r="D10">
        <v>3785.41</v>
      </c>
      <c r="F10" s="4" t="s">
        <v>192</v>
      </c>
      <c r="G10" s="4" t="s">
        <v>186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3">
      <c r="C11" t="s">
        <v>219</v>
      </c>
      <c r="D11">
        <v>4.93</v>
      </c>
      <c r="F11" s="7">
        <v>1</v>
      </c>
      <c r="G11" s="7"/>
      <c r="H11" s="7">
        <v>2</v>
      </c>
      <c r="I11" s="7"/>
      <c r="J11" s="7">
        <v>3</v>
      </c>
      <c r="K11" s="7"/>
      <c r="L11" s="7">
        <v>4</v>
      </c>
      <c r="M11" s="7"/>
      <c r="N11" s="7">
        <v>5</v>
      </c>
      <c r="O11" s="7"/>
      <c r="P11" s="7">
        <v>6</v>
      </c>
      <c r="Q11" s="7"/>
      <c r="R11" s="7">
        <v>7</v>
      </c>
      <c r="S11" s="7"/>
      <c r="T11" s="7">
        <v>8</v>
      </c>
      <c r="U11" s="7"/>
      <c r="V11" s="7">
        <v>9</v>
      </c>
      <c r="W11" s="7"/>
      <c r="X11" s="7">
        <v>10</v>
      </c>
      <c r="Y11" s="7"/>
    </row>
    <row r="12" spans="1:25" x14ac:dyDescent="0.3">
      <c r="C12" t="s">
        <v>220</v>
      </c>
      <c r="D12">
        <v>14.79</v>
      </c>
      <c r="F12" s="12" t="s">
        <v>193</v>
      </c>
      <c r="G12" s="12" t="s">
        <v>194</v>
      </c>
      <c r="H12" s="12" t="s">
        <v>193</v>
      </c>
      <c r="I12" s="12" t="s">
        <v>194</v>
      </c>
      <c r="J12" s="12" t="s">
        <v>193</v>
      </c>
      <c r="K12" s="12" t="s">
        <v>194</v>
      </c>
      <c r="L12" s="12" t="s">
        <v>193</v>
      </c>
      <c r="M12" s="12" t="s">
        <v>194</v>
      </c>
      <c r="N12" s="12" t="s">
        <v>193</v>
      </c>
      <c r="O12" s="12" t="s">
        <v>194</v>
      </c>
      <c r="P12" s="12" t="s">
        <v>193</v>
      </c>
      <c r="Q12" s="12" t="s">
        <v>194</v>
      </c>
      <c r="R12" s="12" t="s">
        <v>193</v>
      </c>
      <c r="S12" s="12" t="s">
        <v>194</v>
      </c>
      <c r="T12" s="12" t="s">
        <v>193</v>
      </c>
      <c r="U12" s="12" t="s">
        <v>194</v>
      </c>
      <c r="V12" s="12" t="s">
        <v>193</v>
      </c>
      <c r="W12" s="12" t="s">
        <v>194</v>
      </c>
      <c r="X12" s="12" t="s">
        <v>193</v>
      </c>
      <c r="Y12" s="12" t="s">
        <v>194</v>
      </c>
    </row>
    <row r="13" spans="1:25" x14ac:dyDescent="0.3">
      <c r="F13">
        <f>Dashboard!J4</f>
        <v>0</v>
      </c>
      <c r="G13" t="str" cm="1">
        <f t="array" ref="G13">_xlfn._xlws.SORT(_xlfn._xlws.FILTER($C$2:$C$12,ISNUMBER(SEARCH(F13,$C$2:$C$12)),"Not Found"))</f>
        <v>Not Found</v>
      </c>
      <c r="H13">
        <f>Dashboard!J6</f>
        <v>0</v>
      </c>
      <c r="I13" t="str" cm="1">
        <f t="array" ref="I13">_xlfn._xlws.SORT(_xlfn._xlws.FILTER($C$2:$C$12,ISNUMBER(SEARCH(H13,$C$2:$C$12)),"Not Found"))</f>
        <v>Not Found</v>
      </c>
      <c r="J13">
        <f>Dashboard!J8</f>
        <v>0</v>
      </c>
      <c r="K13" t="str" cm="1">
        <f t="array" ref="K13">_xlfn._xlws.SORT(_xlfn._xlws.FILTER($C$2:$C$12,ISNUMBER(SEARCH(J13,$C$2:$C$12)),"Not Found"))</f>
        <v>Not Found</v>
      </c>
      <c r="L13">
        <f>Dashboard!J10</f>
        <v>0</v>
      </c>
      <c r="M13" t="str" cm="1">
        <f t="array" ref="M13">_xlfn._xlws.SORT(_xlfn._xlws.FILTER($C$2:$C$12,ISNUMBER(SEARCH(L13,$C$2:$C$12)),"Not Found"))</f>
        <v>Not Found</v>
      </c>
      <c r="N13">
        <f>Dashboard!J12</f>
        <v>0</v>
      </c>
      <c r="O13" t="str" cm="1">
        <f t="array" ref="O13">_xlfn._xlws.SORT(_xlfn._xlws.FILTER($C$2:$C$12,ISNUMBER(SEARCH(N13,$C$2:$C$12)),"Not Found"))</f>
        <v>Not Found</v>
      </c>
      <c r="P13">
        <f>Dashboard!J14</f>
        <v>0</v>
      </c>
      <c r="Q13" t="str" cm="1">
        <f t="array" ref="Q13">_xlfn._xlws.SORT(_xlfn._xlws.FILTER($C$2:$C$12,ISNUMBER(SEARCH(P13,$C$2:$C$12)),"Not Found"))</f>
        <v>Not Found</v>
      </c>
      <c r="R13">
        <f>Dashboard!J16</f>
        <v>0</v>
      </c>
      <c r="S13" t="str" cm="1">
        <f t="array" ref="S13">_xlfn._xlws.SORT(_xlfn._xlws.FILTER($C$2:$C$12,ISNUMBER(SEARCH(R13,$C$2:$C$12)),"Not Found"))</f>
        <v>Not Found</v>
      </c>
      <c r="T13">
        <f>Dashboard!J18</f>
        <v>0</v>
      </c>
      <c r="U13" t="str" cm="1">
        <f t="array" ref="U13">_xlfn._xlws.SORT(_xlfn._xlws.FILTER($C$2:$C$12,ISNUMBER(SEARCH(T13,$C$2:$C$12)),"Not Found"))</f>
        <v>Not Found</v>
      </c>
      <c r="V13">
        <f>Dashboard!J20</f>
        <v>0</v>
      </c>
      <c r="W13" t="str" cm="1">
        <f t="array" ref="W13">_xlfn._xlws.SORT(_xlfn._xlws.FILTER($C$2:$C$12,ISNUMBER(SEARCH(V13,$C$2:$C$12)),"Not Found"))</f>
        <v>Not Found</v>
      </c>
      <c r="X13">
        <f>Dashboard!J22</f>
        <v>0</v>
      </c>
      <c r="Y13" t="str" cm="1">
        <f t="array" ref="Y13">_xlfn._xlws.SORT(_xlfn._xlws.FILTER($C$2:$C$12,ISNUMBER(SEARCH(X13,$C$2:$C$12)),"Not Found"))</f>
        <v>Not Found</v>
      </c>
    </row>
    <row r="15" spans="1:25" x14ac:dyDescent="0.3">
      <c r="F15" s="1" t="s">
        <v>236</v>
      </c>
      <c r="H15" s="1" t="s">
        <v>236</v>
      </c>
      <c r="J15" s="1" t="s">
        <v>236</v>
      </c>
      <c r="L15" s="1" t="s">
        <v>236</v>
      </c>
      <c r="N15" s="1" t="s">
        <v>236</v>
      </c>
      <c r="P15" s="1" t="s">
        <v>236</v>
      </c>
      <c r="R15" s="1" t="s">
        <v>236</v>
      </c>
      <c r="T15" s="1" t="s">
        <v>236</v>
      </c>
      <c r="V15" s="1" t="s">
        <v>236</v>
      </c>
      <c r="X15" s="1" t="s">
        <v>236</v>
      </c>
    </row>
    <row r="16" spans="1:25" x14ac:dyDescent="0.3">
      <c r="F16" t="e">
        <f>_xlfn.XLOOKUP(F13,$C$2:$C$12,$D$2:$D$12)</f>
        <v>#N/A</v>
      </c>
      <c r="H16" t="e">
        <f>_xlfn.XLOOKUP(H13,$C$2:$C$12,$D$2:$D$12)</f>
        <v>#N/A</v>
      </c>
      <c r="J16" t="e">
        <f>_xlfn.XLOOKUP(J13,$C$2:$C$12,$D$2:$D$12)</f>
        <v>#N/A</v>
      </c>
      <c r="L16" t="e">
        <f>_xlfn.XLOOKUP(L13,$C$2:$C$12,$D$2:$D$12)</f>
        <v>#N/A</v>
      </c>
      <c r="N16" t="e">
        <f>_xlfn.XLOOKUP(N13,$C$2:$C$12,$D$2:$D$12)</f>
        <v>#N/A</v>
      </c>
      <c r="P16" t="e">
        <f>_xlfn.XLOOKUP(P13,$C$2:$C$12,$D$2:$D$12)</f>
        <v>#N/A</v>
      </c>
      <c r="R16" t="e">
        <f>_xlfn.XLOOKUP(R13,$C$2:$C$12,$D$2:$D$12)</f>
        <v>#N/A</v>
      </c>
      <c r="T16" t="e">
        <f>_xlfn.XLOOKUP(T13,$C$2:$C$12,$D$2:$D$12)</f>
        <v>#N/A</v>
      </c>
      <c r="V16" t="e">
        <f>_xlfn.XLOOKUP(V13,$C$2:$C$12,$D$2:$D$12)</f>
        <v>#N/A</v>
      </c>
      <c r="X16" t="e">
        <f>_xlfn.XLOOKUP(X13,$C$2:$C$12,$D$2:$D$12)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Dashboard</vt:lpstr>
      <vt:lpstr>Inputs</vt:lpstr>
      <vt:lpstr>References</vt:lpstr>
      <vt:lpstr>Raw Data</vt:lpstr>
      <vt:lpstr>Calculations</vt:lpstr>
      <vt:lpstr>Data Validation</vt:lpstr>
      <vt:lpstr>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Le</dc:creator>
  <cp:lastModifiedBy>Bryan Le</cp:lastModifiedBy>
  <dcterms:created xsi:type="dcterms:W3CDTF">2015-06-05T18:17:20Z</dcterms:created>
  <dcterms:modified xsi:type="dcterms:W3CDTF">2024-03-26T16:51:13Z</dcterms:modified>
</cp:coreProperties>
</file>